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I" sheetId="1" r:id="rId4"/>
    <sheet state="visible" name="KI" sheetId="2" r:id="rId5"/>
    <sheet state="visible" name="PWRP" sheetId="3" r:id="rId6"/>
    <sheet state="visible" name="Dana Eks" sheetId="4" r:id="rId7"/>
    <sheet state="visible" name="POSTDOCVR" sheetId="5" r:id="rId8"/>
    <sheet state="visible" name="SDM IPTEK" sheetId="6" r:id="rId9"/>
    <sheet state="visible" name="PN" sheetId="7" r:id="rId10"/>
    <sheet state="visible" name="SITASI" sheetId="8" r:id="rId11"/>
    <sheet state="visible" name="Rekap Capaian PR" sheetId="9" r:id="rId12"/>
    <sheet state="visible" name="Rekap Capaian KR" sheetId="10" r:id="rId13"/>
    <sheet state="visible" name="Rekap Capaian Individu" sheetId="11" r:id="rId14"/>
    <sheet state="visible" name="Data Dashboard" sheetId="12" r:id="rId15"/>
    <sheet state="visible" name="Dashboard" sheetId="13" r:id="rId16"/>
    <sheet state="visible" name="Master" sheetId="14" r:id="rId17"/>
    <sheet state="visible" name="determinan" sheetId="15" r:id="rId18"/>
  </sheets>
  <definedNames>
    <definedName name="duplikasi">PI!$E$6:$E$200</definedName>
    <definedName name="publikasi">PI!$E$6:$E$200</definedName>
    <definedName name="reppi">Master!$C$14:$C$17</definedName>
    <definedName name="jnjg">Master!$C$43:$C$46</definedName>
    <definedName name="ki">KI!$E$6:$E$70</definedName>
    <definedName name="vol">Master!$I$43:$I$45</definedName>
    <definedName name="jnspwrp">Master!$C$20:$C$24</definedName>
    <definedName name="kelris">Master!$A$51:$A$58</definedName>
    <definedName localSheetId="6" name="publikasi">PN!$D$6:$D$200</definedName>
    <definedName name="periodestamp">Master!$A$60:$A$71</definedName>
    <definedName name="index">Master!$F$7:$F$8</definedName>
    <definedName name="jdn">Master!$G$29:$G$30</definedName>
    <definedName name="jnspi">Master!$A$14:$A$17</definedName>
    <definedName name="nmperiset">'Rekap Capaian Individu'!$C$6:$C$119</definedName>
    <definedName name="jnsolehan">Master!$C$29:$C$31</definedName>
    <definedName name="smbrdana">Master!$A$29:$A$36</definedName>
    <definedName name="outputdana">Master!$A$38:$A$40</definedName>
    <definedName name="stspwrp">Master!$G$20:$G$26</definedName>
    <definedName name="mtr">Master!$J$20:$J$21</definedName>
    <definedName name="jnski">Master!$A$7:$A$11</definedName>
    <definedName name="reppn">Master!$F$14:$F$15</definedName>
    <definedName name="de">'Dana Eks'!$D$6:$D$71</definedName>
    <definedName name="psv">Master!$E$43:$E$44</definedName>
    <definedName localSheetId="2" name="publikasi">PWRP!$D$6:$D$53</definedName>
    <definedName name="stsupload">Master!$C$7:$C$8</definedName>
    <definedName name="statki">Master!$A$2:$A$5</definedName>
    <definedName name="statpi">Master!$A$20:$A$25</definedName>
    <definedName name="satuan">Master!$L$43:$L$45</definedName>
    <definedName name="stssdm">Master!$A$43:$A$47</definedName>
    <definedName name="statuskelris">Master!$C$60:$C$61</definedName>
    <definedName hidden="1" localSheetId="0" name="_xlnm._FilterDatabase">PI!$B$5:$T$200</definedName>
    <definedName hidden="1" localSheetId="1" name="_xlnm._FilterDatabase">KI!$B$5:$U$61</definedName>
    <definedName hidden="1" localSheetId="2" name="_xlnm._FilterDatabase">PWRP!$B$5:$O$54</definedName>
    <definedName hidden="1" localSheetId="3" name="_xlnm._FilterDatabase">'Dana Eks'!$B$5:$V$71</definedName>
    <definedName hidden="1" localSheetId="4" name="_xlnm._FilterDatabase">POSTDOCVR!$A$5:$P$31</definedName>
    <definedName hidden="1" localSheetId="5" name="_xlnm._FilterDatabase">'SDM IPTEK'!$A$5:$I$62</definedName>
    <definedName hidden="1" localSheetId="6" name="_xlnm._FilterDatabase">PN!$B$5:$O$200</definedName>
    <definedName hidden="1" localSheetId="8" name="_xlnm._FilterDatabase">'Rekap Capaian PR'!$C$2:$C$68</definedName>
    <definedName hidden="1" localSheetId="9" name="_xlnm._FilterDatabase">'Rekap Capaian KR'!$D$7:$D$139</definedName>
    <definedName hidden="1" localSheetId="10" name="_xlnm._FilterDatabase">'Rekap Capaian Individu'!$B$5:$D$119</definedName>
    <definedName hidden="1" localSheetId="0" name="Z_51569149_E141_4BAE_8E4C_36F8378668C1_.wvu.FilterData">PI!$C$5:$C$93</definedName>
    <definedName hidden="1" localSheetId="2" name="Z_51569149_E141_4BAE_8E4C_36F8378668C1_.wvu.FilterData">PWRP!$C$5:$C$53</definedName>
    <definedName hidden="1" localSheetId="3" name="Z_51569149_E141_4BAE_8E4C_36F8378668C1_.wvu.FilterData">'Dana Eks'!$Y$15:$Y$26</definedName>
    <definedName hidden="1" localSheetId="6" name="Z_51569149_E141_4BAE_8E4C_36F8378668C1_.wvu.FilterData">PN!$C$5:$C$92</definedName>
  </definedNames>
  <calcPr/>
  <customWorkbookViews>
    <customWorkbookView activeSheetId="0" maximized="1" windowHeight="0" windowWidth="0" guid="{51569149-E141-4BAE-8E4C-36F8378668C1}"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66">
      <text>
        <t xml:space="preserve">afiliasi non BRIN
	-MONEV OREI 2024</t>
      </text>
    </comment>
  </commentList>
</comments>
</file>

<file path=xl/sharedStrings.xml><?xml version="1.0" encoding="utf-8"?>
<sst xmlns="http://schemas.openxmlformats.org/spreadsheetml/2006/main" count="3413" uniqueCount="1018">
  <si>
    <t>PUBLIKASI INTERNASIONAL</t>
  </si>
  <si>
    <t>DIISI OLEH PJ MONEV</t>
  </si>
  <si>
    <t xml:space="preserve">PUSAT RISET SAINS DATA INFORMASI </t>
  </si>
  <si>
    <t>PENULIS (SIVITAS PRSDI)</t>
  </si>
  <si>
    <t>JENIS DAKUNG</t>
  </si>
  <si>
    <t>NO</t>
  </si>
  <si>
    <t>Periode Input</t>
  </si>
  <si>
    <t>Periode Stamp</t>
  </si>
  <si>
    <t>Validasi KR</t>
  </si>
  <si>
    <t>JUDUL</t>
  </si>
  <si>
    <t>KELOMPOK RISET</t>
  </si>
  <si>
    <t>NON SIVITAS PRSDI</t>
  </si>
  <si>
    <t>JENIS</t>
  </si>
  <si>
    <t>STATUS</t>
  </si>
  <si>
    <t>NAMA JURNAL/PROSIDING</t>
  </si>
  <si>
    <t>TERINDEX SCOPUS</t>
  </si>
  <si>
    <t>REPUTASI</t>
  </si>
  <si>
    <t>UPLOAD GDRIVE</t>
  </si>
  <si>
    <t>URL</t>
  </si>
  <si>
    <t>DOI/SCOPUS (Wajib Jika status Published)</t>
  </si>
  <si>
    <t>CATATAN</t>
  </si>
  <si>
    <t>Februari</t>
  </si>
  <si>
    <t>Generate fuzzy string-matching to build self attention on Indonesian medical-chatbot</t>
  </si>
  <si>
    <t xml:space="preserve">Temu Kembali Informasi (Information Retrieval) </t>
  </si>
  <si>
    <t>Dr. Wiwin Suwarningsih, M.T.</t>
  </si>
  <si>
    <t>nuryani</t>
  </si>
  <si>
    <t>Jurnal</t>
  </si>
  <si>
    <t>Published</t>
  </si>
  <si>
    <t>International Journal of Electrical and Computer Engineering</t>
  </si>
  <si>
    <t>Ya</t>
  </si>
  <si>
    <t>Q2</t>
  </si>
  <si>
    <t>PI</t>
  </si>
  <si>
    <t>https://doi.org/10.11591/ijece.v14i1.pp819-829</t>
  </si>
  <si>
    <t>UAV-assisted heavy metal tracking in oil palm plantations: present applications and future prospects</t>
  </si>
  <si>
    <t>Interaksi Manusia-Komputer dan Visualisasi (Human Computer Interaction and Visualisation)</t>
  </si>
  <si>
    <t>M. Yudhi Rezaldi, Ph.D</t>
  </si>
  <si>
    <t>Dr. Ambar Yoganingrum</t>
  </si>
  <si>
    <t>Abdurrakhman Prasetyadi, M.P</t>
  </si>
  <si>
    <t>Arafat Febriandirza, Ph.D</t>
  </si>
  <si>
    <t>Cahyo Trianggoro, S.IIP</t>
  </si>
  <si>
    <t>Ridwan Suhud, M.T</t>
  </si>
  <si>
    <t>Sutyawan, Aang Gunawan</t>
  </si>
  <si>
    <t>Remote Sensing Letters</t>
  </si>
  <si>
    <t>Q1</t>
  </si>
  <si>
    <t>https://doi.org/10.1080/2150704X.2023.2299268</t>
  </si>
  <si>
    <t>Decision support system for fish quarantine measures in Indonesia</t>
  </si>
  <si>
    <t>Rekayasa Pengetahuan dan Data (Knowledge and Data Engineering)</t>
  </si>
  <si>
    <t>Dr. Deden Sumirat Hidayat,
 M.Kom.</t>
  </si>
  <si>
    <t>Satuti, Winaring Suryo; Sensuse, Dana Indra; Elisabeth, Damayanti; Hasani, Lintang Matahari</t>
  </si>
  <si>
    <t>VINE Journal of Information and Knowledge Management Systems</t>
  </si>
  <si>
    <t>https://doi.org/10.1108/VJIKMS-08-2021-0144</t>
  </si>
  <si>
    <t>belum ada dalam daftar kelris tahun lalu, pindahan dari PR lain. artikel tampaknya accepted th 2022 jadi belum diklaim di 2023</t>
  </si>
  <si>
    <t>Investigating Adolescent Vulnerability in Indonesia: A Socio-Remote Sensing Big Data Analytics Study Using Night Light Data</t>
  </si>
  <si>
    <t>Rezzy Eko Caraka ,S.Si.,M.Sc(RES).,PhD.</t>
  </si>
  <si>
    <t>Toharudin, Toni; Kaban, Puspita Anggraini; Supardi, Khairunnisa; Kurniawan, Robert; Kim Yunho; Mufti, Syihabuddin Ahmad; Gio, Prana Ugiana; Sakti, Anjar Dimara; Chen, Rung-Ching; Noh, Maengseok; Pardamean, Bens</t>
  </si>
  <si>
    <t>IEEE Access</t>
  </si>
  <si>
    <t>https://doi.org/10.1109/ACCESS.2024.3355963</t>
  </si>
  <si>
    <t>Implementing night light data as auxiliary variable of small area estimation</t>
  </si>
  <si>
    <t>Pemerintahan Digital (Digital Government)</t>
  </si>
  <si>
    <t>Kaban, Puspita Anggraini; Nasution, Bahrul Ilmi; Kurniawan, Robert</t>
  </si>
  <si>
    <t>Communications in Statistics - Theory and Methods</t>
  </si>
  <si>
    <t>Q3</t>
  </si>
  <si>
    <t>https://doi.org/10.1080/03610926.2022.2077963</t>
  </si>
  <si>
    <t>Triwulan I</t>
  </si>
  <si>
    <t>Emphasizing Data Quality for the Identification of Chili Varieties in the Context of Smart Agriculture</t>
  </si>
  <si>
    <t>Dr. Purnomo Husnul Khotimah, M.T</t>
  </si>
  <si>
    <t>Ir. Dianadewi Riswantini, M.Sc.</t>
  </si>
  <si>
    <t>Ekasari Nugraheni, M.T.</t>
  </si>
  <si>
    <t>Andria Arisal, M. Eng.</t>
  </si>
  <si>
    <t>Andri Fachrur Rozie, M. Eng.</t>
  </si>
  <si>
    <t>Devi Munandar, S. Kom, M. Si</t>
  </si>
  <si>
    <t>Rinda Kirana, Noor Roufiq Ahmadi</t>
  </si>
  <si>
    <t>Interdisciplinary Journal of Information, Knowledge, and Management (IJIKM)</t>
  </si>
  <si>
    <t>https://www.informingscience.org/Publications/5257</t>
  </si>
  <si>
    <t>https://doi.org/10.28945/5257</t>
  </si>
  <si>
    <t>Improving Research Support Services in Indonesian Academic Digital Libraries: A Recommendation for Business Process Reengineering Implementation Strategies</t>
  </si>
  <si>
    <t>Dr. Ira Maryati, S.TP,. M.P.</t>
  </si>
  <si>
    <t>Betty Purwandari, Harry Budi Santoso, Indra Budi</t>
  </si>
  <si>
    <t>Library Leadership and Management</t>
  </si>
  <si>
    <t>https://doi.org/10.5860/llm.v37i3.7559</t>
  </si>
  <si>
    <t>The Evaluation of Fundamental Safety Function and Defence in Depth of AP1000 Using Probabilistic Analysis</t>
  </si>
  <si>
    <r>
      <rPr>
        <rFont val="Arial"/>
        <color theme="1"/>
        <sz val="10.0"/>
      </rPr>
      <t xml:space="preserve">Dr. Arya Adhyaksa Waskita, </t>
    </r>
    <r>
      <rPr>
        <rFont val="Arial"/>
        <color rgb="FF1155CC"/>
        <sz val="10.0"/>
        <u/>
      </rPr>
      <t>M.Si</t>
    </r>
  </si>
  <si>
    <t>damianus toersiwi sony tjahyani, julwan hendry purba, andi sofrany ekariansyah, surip widodo</t>
  </si>
  <si>
    <t>Prosiding</t>
  </si>
  <si>
    <t xml:space="preserve">AIP Conference Proceedings Volume 2967, Issue 115 February 2024 </t>
  </si>
  <si>
    <t>Q4</t>
  </si>
  <si>
    <t>https://doi.org/10.1063/5.0192928</t>
  </si>
  <si>
    <t>Thematic evolution of smart learning environments, insights and directions from a 20-year research milestones: A bibliometric analysis</t>
  </si>
  <si>
    <t>Dr. Eng. Budi Nugroho</t>
  </si>
  <si>
    <t>Della Maulidiya, Harry B. Santoso, Zainal H. Hasibuan</t>
  </si>
  <si>
    <t>Heliyon</t>
  </si>
  <si>
    <t>https://doi.org/10.1016/j.heliyon.2024.e26191</t>
  </si>
  <si>
    <t>Fine-Tuning of Predictive Models CNN-LSTM and CONV-LSTM for Nowcasting PM2.5Level</t>
  </si>
  <si>
    <t>tafia hasna putri, toni toharudin, kim yunho, chen rung ching, prana ugiana gio, anjar dimara sakti, resa septiani pontoh, indah reski pratiwi, farid azhar lutfi nugraha, thalita safa azzahra, jessica jesslyn cerelia, gumgum darmawan, defi yusti faidah, bens pardamean</t>
  </si>
  <si>
    <t>https://doi.org/10.1109/ACCESS.2024.3368034</t>
  </si>
  <si>
    <t>Business Predictive Analytics of Smallholder Indonesian Maize using Vector Error Correction</t>
  </si>
  <si>
    <t>Anita Rizky Lubis, Nelva Meiriany Br Ginting, Sri Fajar Ayu, Kim Yunho, Prana Ugiana Gio, Bens Pardamean</t>
  </si>
  <si>
    <t>Engineering Letters</t>
  </si>
  <si>
    <t>https://www.scopus.com/record/display.uri?eid=2-s2.0-85187188096&amp;origin=resultslist</t>
  </si>
  <si>
    <t>Empowering deaf communication: a novel LSTM model for recognizing Indonesian sign language</t>
  </si>
  <si>
    <t>Khairunissa Supardi, Robert Kurniawan, Kim Yunho, Prana Ugiana GioBudi Yuniarto, Faiq Zakki Mubarok, Bens Pardamean</t>
  </si>
  <si>
    <t>Universal Access in the Information Society</t>
  </si>
  <si>
    <t>https://doi.org/10.1007/s10209-024-01095-1</t>
  </si>
  <si>
    <t>Determinants of knowledge sharing among civil servants and the moderating effects of leadership styles</t>
  </si>
  <si>
    <t>Rias Kumalasari Devi, Alivia Yulfitri, Dana Indra Sensuse</t>
  </si>
  <si>
    <t>Business Information Review</t>
  </si>
  <si>
    <t>https://doi.org/10.1177/02663821231216687</t>
  </si>
  <si>
    <t>The development land utilization and cover of the Jambi district are examined and forecasted using Google Earth Engine and CNN1D</t>
  </si>
  <si>
    <t>Pengolahan Bahasa Alami (Natural Language Processing)</t>
  </si>
  <si>
    <t>Prabu Kresna Putra, S.T.,
 M.T.I.</t>
  </si>
  <si>
    <t>Muhammad Iqbal Habibie, Ramadhan, Nety Nurda, Dionysius Bryan Sencaki, Hari Prayogi, Agustan, Dewayany Sutrisno, Oni Bibin Bintoro</t>
  </si>
  <si>
    <t>Remote Sensing Applications: Society and Environment</t>
  </si>
  <si>
    <t>https://doi.org/10.1016/j.rsase.2024.101175</t>
  </si>
  <si>
    <t>Textual Analysis for Public Sentiment Toward National Police Using CRISP-DM Framework</t>
  </si>
  <si>
    <t>Latifa Z.S. Sudar, Joash L. Ambenay, Indra Budi, Amanah Ramadiah, Aris B Santoso</t>
  </si>
  <si>
    <t>Revue d'Intelligence Artificielle</t>
  </si>
  <si>
    <t>https://doi.org/10.18280/ria.380107</t>
  </si>
  <si>
    <t>afiliasi author non BRIN</t>
  </si>
  <si>
    <t>Strategies for addressing the limited ground truth data in fake news detection related tasks: A systematic review</t>
  </si>
  <si>
    <t>Yaniasih, S.TP., M.P.</t>
  </si>
  <si>
    <r>
      <rPr>
        <rFont val="Calibri"/>
        <color theme="1"/>
        <sz val="9.0"/>
      </rPr>
      <t xml:space="preserve">Dr. Dipl.(FH) Ing Asril, </t>
    </r>
    <r>
      <rPr>
        <rFont val="Calibri"/>
        <color rgb="FF1155CC"/>
        <sz val="9.0"/>
        <u/>
      </rPr>
      <t>M.Sc</t>
    </r>
  </si>
  <si>
    <t>Ir. Andi Djalal Latief, M.S.</t>
  </si>
  <si>
    <t>Dian Isnaeni Nurul Afra, S.Kom., M.T.I.</t>
  </si>
  <si>
    <t>Elvira Nurfadhilah, S.Komp., M. Kom</t>
  </si>
  <si>
    <t>Gita Citra Puspita S.Kom</t>
  </si>
  <si>
    <t>Hayuning Titi Karsanti S. Kom., M.Eng</t>
  </si>
  <si>
    <t>Nuraisa Novia Hidayati, S.Kom., M.Kom.</t>
  </si>
  <si>
    <t>Submit</t>
  </si>
  <si>
    <t>Journal of Experimental &amp; Theoretical Artificial Intelligence</t>
  </si>
  <si>
    <t>PJ : Tambahan Sivitas 
Radhiyatul Fajri, S.Kom, M.Pd.T, M.Kom.</t>
  </si>
  <si>
    <t>April</t>
  </si>
  <si>
    <t>Exploring usage-based and usability metrics for user experience for sus- tainable e-learning systems</t>
  </si>
  <si>
    <t>Dr. Tr. Lindung Parningotan Manik</t>
  </si>
  <si>
    <t>E3S Web of Conferences</t>
  </si>
  <si>
    <t>https://www.scopus.com/record/display.uri?eid=2-s2.0-85189244036&amp;origin=resultslist</t>
  </si>
  <si>
    <t>https://doi.org/10.1051/e3sconf/202450102003</t>
  </si>
  <si>
    <t>Plant-Disease Relation Model through BERT-BiLSTM-CRF Approach</t>
  </si>
  <si>
    <t>Slamet Riyanto, S.Kom., M.M.S.I.</t>
  </si>
  <si>
    <t>Imas Sukaesih SItanggang; Taufik Djatna; Tika Dewi Atikah</t>
  </si>
  <si>
    <t>Indonesian Journal of Electrical Engineering and Informatics</t>
  </si>
  <si>
    <t>https://www.scopus.com/record/display.uri?eid=2-s2.0-85190103003&amp;origin=resultslist</t>
  </si>
  <si>
    <t>https://doi.org/10.52549/ijeei.v12i1.5154</t>
  </si>
  <si>
    <t>Unveiling Sentiments: Social Media Analytics on Indonesian Startup and Fintech Discourse</t>
  </si>
  <si>
    <t>Merios Gusan Putra; Mustafid</t>
  </si>
  <si>
    <t>2024 ASU International Conference in Emerging Technologies for Sustainability and Intelligent Systems, ICETSIS 2024</t>
  </si>
  <si>
    <t>https://www.scopus.com/record/display.uri?eid=2-s2.0-85190524897&amp;origin=resultslist</t>
  </si>
  <si>
    <t>https://doi.org/10.1109/ICETSIS61505.2024.10459378</t>
  </si>
  <si>
    <t>Developing a Seismic Land Capability Framework for Earthquake-resistant Housing Based on GIS Approach: A Case of Sukabumi District</t>
  </si>
  <si>
    <t>Sutrisno, Dewayany; Suwarno, Yatin; Rahadiati, Ati; Habibie, Muhammad Iqbal; Prayogi, Hari; Sabrina, Fathia Zulfati; Widodo, Amien; Kosasih, Ahmad</t>
  </si>
  <si>
    <t>Geographia Technica</t>
  </si>
  <si>
    <t>https://www.scopus.com/record/display.uri?eid=2-s2.0-85189099672&amp;origin=resultslist</t>
  </si>
  <si>
    <t>https://doi.org/10.21163/GT_2024.191.12</t>
  </si>
  <si>
    <t>Utilization of Image Processing and CNN for Roasted-Coffee Level Classification</t>
  </si>
  <si>
    <t>Irfan Asfy Fakhry Anto S.Kom., M.T</t>
  </si>
  <si>
    <t>Jony Winaryo Wibowo, Taufik Ibnu Salim, Aris Munandar</t>
  </si>
  <si>
    <t>Indonesian Journal of Electrical Engineering and Informatics (IJEEI)</t>
  </si>
  <si>
    <t>Triwulan II</t>
  </si>
  <si>
    <t>BERTopic Analysis of Indonesian Biodiversity Policy on Social Media</t>
  </si>
  <si>
    <r>
      <rPr>
        <rFont val="Calibri"/>
        <color theme="1"/>
        <sz val="9.0"/>
      </rPr>
      <t xml:space="preserve">Siti Shaleha, </t>
    </r>
    <r>
      <rPr>
        <rFont val="Calibri"/>
        <color rgb="FF1155CC"/>
        <sz val="9.0"/>
        <u/>
      </rPr>
      <t>S.ST</t>
    </r>
  </si>
  <si>
    <t>ECTI Transactions on Computer and Information Technology (ECTI-CIT)</t>
  </si>
  <si>
    <t>https://ph01.tci-thaijo.org/index.php/ecticit/article/view/255058</t>
  </si>
  <si>
    <t>https://doi.org/10.37936/ecti-cit.2024173.255058</t>
  </si>
  <si>
    <t>https://www.scopus.com/record/display.uri?eid=2-s2.0-85195211131&amp;origin=resultslist&amp;sort=plf-f&amp;src=s&amp;sid=8ebdcf8ead5afcb183bca98b201041f9&amp;sot=b&amp;sdt=b&amp;s=TITLE-ABS-KEY%28BERTopic+Analysis+of+Indonesian+Biodiversity+Policy+on+Social+Media%29&amp;sl=82&amp;sessionSearchId=8ebdcf8ead5afcb183bca98b201041f9&amp;relpos=0</t>
  </si>
  <si>
    <t>pengulangan entry no 13</t>
  </si>
  <si>
    <t>Mei</t>
  </si>
  <si>
    <t xml:space="preserve">A Systematic Literature Review on University Collaboration in Open Innovation: Trends, Technologies, and Frameworks </t>
  </si>
  <si>
    <t xml:space="preserve">Novi Sofia Fitriasari, Dana Indra Sensuse, Erisva Hakiki Purwaningsih </t>
  </si>
  <si>
    <t>Electronic Journal of Knowledge Management'</t>
  </si>
  <si>
    <t>https://academic-publishing.org/index.php/ejkm/article/view/3407</t>
  </si>
  <si>
    <t>https://doi.org/10.34190/ejkm.22.1.3407</t>
  </si>
  <si>
    <t xml:space="preserve">Analyst’s Perception on the Use of AI-based Tools in the Software Development Life Cycle </t>
  </si>
  <si>
    <t xml:space="preserve">Rafi Giffari, M. Mushlih Ridho, Dana Indra Sensuse, Erisva Hakiki Purwaningsih </t>
  </si>
  <si>
    <t>Jurnal Sistem Informasi</t>
  </si>
  <si>
    <t>Tidak</t>
  </si>
  <si>
    <t>https://jsi.cs.ui.ac.id/index.php/jsi/article/view/1399</t>
  </si>
  <si>
    <t>https://doi.org/10.21609/jsi.v20i1.1399</t>
  </si>
  <si>
    <t>Unraveling Knowledge-based Chatbot Adoption Intention in Enhancing Species Literacy</t>
  </si>
  <si>
    <t>Ariani Indrawati, M.TI</t>
  </si>
  <si>
    <t>Niken Fitria Apriani, S.Kom., M.Kom.</t>
  </si>
  <si>
    <t>Yulia Aris Kartika, M. Kom.</t>
  </si>
  <si>
    <t>Dwi Setyo Rini, Priyanti, Agusdin Dharma Fefirenta, Zaenal Akbar, Tutie Djarwaningsih</t>
  </si>
  <si>
    <t>https://www.scopus.com/record/display.uri?eid=2-s2.0-85193796311&amp;origin=resultslist</t>
  </si>
  <si>
    <t>https://doi.org/10.28945/5280</t>
  </si>
  <si>
    <t>Transactional Business Process Redesign of Procurement Planning System using Heuristic Method</t>
  </si>
  <si>
    <t>nungki dian sulistyo damayanti, arti dian nastiti</t>
  </si>
  <si>
    <t>2024 2nd International Conference on Software Engineering and Information Technology, ICoSEIT 2024</t>
  </si>
  <si>
    <t>https://ieeexplore.ieee.org/document/10497473</t>
  </si>
  <si>
    <t>https://doi.org/10.1109/ICoSEIT60086.2024.10497473</t>
  </si>
  <si>
    <t>Published di Tanggal 16 April 2024</t>
  </si>
  <si>
    <t>Development of Fish Metabolome Database: Expanding Access and Advancing Management of Metabolite Data Resources</t>
  </si>
  <si>
    <t>Andre Sihombing S.Kom., M.Sc.</t>
  </si>
  <si>
    <t>Giri Rohmad Barokah</t>
  </si>
  <si>
    <t>Under Review</t>
  </si>
  <si>
    <t>Turkish Journal of Fisheries and Aquatic Sciences</t>
  </si>
  <si>
    <t>https://www.trjfas.org/</t>
  </si>
  <si>
    <t>Supply chain pattern of blue swimming crabs in the north coast of Java, Indonesia</t>
  </si>
  <si>
    <t>Dadan Ridwan Saleh, M.T.</t>
  </si>
  <si>
    <t>Achmad Zamroni, Rizki Aprilian Wijaya, Riesti Triyanti, Hakim Miftahul Huda, Andrian Ramadhana, Luthfan Hadi Pramono, Helwijaya Marpaung, Yaya Hudaya</t>
  </si>
  <si>
    <t>Uncertain Supply Chain Management</t>
  </si>
  <si>
    <t>https://growingscience.com/beta/uscm/7114-supply-chain-pattern-of-blue-swimming-crabs-in-the-north-coast-of-java-indonesia.html</t>
  </si>
  <si>
    <t>https://doi.org/10.5267/j.uscm.2024.5.007</t>
  </si>
  <si>
    <t>Technology readiness level assessment of system information zoonosis and emerging infectious disease</t>
  </si>
  <si>
    <t>taufiq widiaputra, yulianingsani, muhammad iqbal habibie, robby arifandri, nugraha ramadhana</t>
  </si>
  <si>
    <t>AIP Conference ProceedingsOpen AccessVolume 3109, Issue 19 April 2024</t>
  </si>
  <si>
    <t>https://www.scopus.com/record/display.uri?eid=2-s2.0-85190860420&amp;origin=resultslist</t>
  </si>
  <si>
    <t>https://doi.org/10.1063/5.0208106</t>
  </si>
  <si>
    <t>Juli</t>
  </si>
  <si>
    <t>Measurement of Si Pixel Sensor Alignment for the ALICE ITS Detector</t>
  </si>
  <si>
    <t>Dr. Esa Prakasa, MT</t>
  </si>
  <si>
    <t>Ahmad Satya Wicaksana, Antonello Di Mauro, Siswo Wardoyo</t>
  </si>
  <si>
    <t>Measurement Science and Technology</t>
  </si>
  <si>
    <t>https://iopscience.iop.org/article/10.1088/1361-6501/ad4fae/meta</t>
  </si>
  <si>
    <t>https://doi.org/10.1088/1361-6501/ad4fae</t>
  </si>
  <si>
    <t>Open Government Data as a Strategy to Improve the Quality of Open Data Services: A Case Study of the District of Tangerang</t>
  </si>
  <si>
    <t>Marini Wulandari S.T., M.T, Sri Agustiningtyas S.T., M.T.I., Arti Dian Nastiti S.Kom., M.T.</t>
  </si>
  <si>
    <t>Draft</t>
  </si>
  <si>
    <t>A qualitative exploration of challenges and factors in research data management across Indonesian research institutes</t>
  </si>
  <si>
    <t>Ekawati Marlina, S.T., M.T.</t>
  </si>
  <si>
    <t>Achmad Nizar Hidayanto; Betty Purwandari</t>
  </si>
  <si>
    <t>Journal of Librarianship and Information Science</t>
  </si>
  <si>
    <t>https://journals.sagepub.com/doi/abs/10.1177/09610006241252662</t>
  </si>
  <si>
    <t>https://doi.org/10.1177/09610006241252662</t>
  </si>
  <si>
    <t>Community preparedness for earthquake disasters: A preliminary assessment of awareness and disaster infrastructure response in Cianjur, West Java-Indonesia</t>
  </si>
  <si>
    <t>Dewayany Sutrisno, Yatin Suwarno Ati Rahadiati, Muhammad Iqbal Habibie,  Hari Prayogi, Amien Widodo, Fathia Zulfati Sabrina, Ahmad Kosasih</t>
  </si>
  <si>
    <t>F1000Research</t>
  </si>
  <si>
    <t>https://f1000research.com/articles/13-256/v1</t>
  </si>
  <si>
    <t>https://doi.org/10.12688/f1000research.143577.1</t>
  </si>
  <si>
    <t>menunggu muncul scopus</t>
  </si>
  <si>
    <t>Sentiment Analysis of Air Pollution on Social Media: Systematic Literature Review</t>
  </si>
  <si>
    <t>Yandi Dwi Permana, Abdul Gofur, Indra Budi, Aris Budi Santoso</t>
  </si>
  <si>
    <t>Sistemasi, Jurnal Sistem Informasi</t>
  </si>
  <si>
    <t>https://sistemasi.ftik.unisi.ac.id/index.php/stmsi/article/view/3679</t>
  </si>
  <si>
    <t>https://doi.org/10.32520/stmsi.v13i3.3679</t>
  </si>
  <si>
    <t>harusnya masuk menu PN karena peringkat SINTA 3</t>
  </si>
  <si>
    <t>Air Quality Monitoring in Indonesia</t>
  </si>
  <si>
    <t>Muhammad Iqbal Habibie, Nety Nurda, Hari Prayogi, Dionisius Bryan Sencaki, Agustan
Dewayany, Oni Bibin Bintoro</t>
  </si>
  <si>
    <t>IEEE Asia-Pacific Conference on Geoscience, Electronics and Remote Sensing Technology (AGERS)</t>
  </si>
  <si>
    <t>https://ieeexplore.ieee.org/abstract/document/10490762</t>
  </si>
  <si>
    <t>https://doi.org/10.1109/AGERS61027.2023.10490762</t>
  </si>
  <si>
    <t>Published di Tanggal 11 April 2024</t>
  </si>
  <si>
    <t>Exploring Regional Dynamics Through Social Media Conversations and Socio-Economic Surveys: Uncovering Perspectives on the Cianjur Earthquake</t>
  </si>
  <si>
    <t>Dewayany, Muhammad Iqbal Habibie, Hari Prayogi, Agustan, Oni Bibin Bintoro, Evie Avianti, Azalea Eugenie</t>
  </si>
  <si>
    <t>https://ieeexplore.ieee.org/abstract/document/10490691</t>
  </si>
  <si>
    <t>https://doi.org/10.1109/AGERS61027.2023.10490691</t>
  </si>
  <si>
    <t>Digital Twin City in Enhancing Flood Evacuation System: Future Opportunities and Challenges</t>
  </si>
  <si>
    <t>Prof. Dr. Ana Hadiana, M.Eng.Sc.</t>
  </si>
  <si>
    <t>Dr. Ary Setijadi, M.T., Prof. Ridwan Sutriadi</t>
  </si>
  <si>
    <t>IEEE ACCESS</t>
  </si>
  <si>
    <t xml:space="preserve">Proses Revisi mulai tanggal 19 Juli 2024 berdasarkan komentar reviewer </t>
  </si>
  <si>
    <t>The Role of Data Governance in a High-Level Approach of Data Migration to Open Data</t>
  </si>
  <si>
    <t>Alivia Yulfitri, Dana Indra Sensuse, Ryan Randy Suryono, Kautsarina, Erisva Hakiki Purwaningsih, Anton Satria Prabuwono</t>
  </si>
  <si>
    <t>https://journals.sagepub.com/eprint/WTPBYRJADKF6ZQQ9SFBD/full</t>
  </si>
  <si>
    <t xml:space="preserve">https://doi.org/10.1177/02663821241264702 </t>
  </si>
  <si>
    <t>Images Processing of Unmanned Aerial Vehicle (UAV) for Cannabis Identification</t>
  </si>
  <si>
    <t>Yomi Guno, Fadjar Rahino Triputra, dkk</t>
  </si>
  <si>
    <t>International Information and Engineering Technology Association</t>
  </si>
  <si>
    <t>https://www.iieta.org/journals/ts/paper/10.18280/ts.410335</t>
  </si>
  <si>
    <t>https://doi.org/10.18280/ts.410335</t>
  </si>
  <si>
    <t>A Grouper Fish Mortality Prediction Model Using Transfer Learning Approach</t>
  </si>
  <si>
    <t>Aris Yaman, Ramadhona Saville, Reny Puspasari, Hatim Albasri, Hilman F Pardede</t>
  </si>
  <si>
    <t>2024 IEEE International Conference on Artificial Intelligence and Mechatronics Systems (AIMS)</t>
  </si>
  <si>
    <t>https://ieeexplore.ieee.org/abstract/document/10513177</t>
  </si>
  <si>
    <t>https://doi.org/10.1109/AIMS61812.2024.10513177</t>
  </si>
  <si>
    <t>Requirements Engineering of Knowledge Management System for Smallholder Dairy Farmers</t>
  </si>
  <si>
    <t>Sofiyanti Indriasari, Dana Indra Sensuse, Yuni Resti, Maria Wurzinger, Bayu Widodo</t>
  </si>
  <si>
    <t>Journal Of Human, Earth, And Future</t>
  </si>
  <si>
    <t>https://hefjournal.org/index.php/HEF/article/view/352</t>
  </si>
  <si>
    <t>https://doi.org/10.28991/HEF-2024-05-02-02</t>
  </si>
  <si>
    <t xml:space="preserve">Bibliometrics for Analysing Business Opportunities and Players in the Pharmaceuticals Fields
</t>
  </si>
  <si>
    <t>Siti Kania Kushadiani, S.T., M.Kom.</t>
  </si>
  <si>
    <t>Heru Sutanto, Koharudin</t>
  </si>
  <si>
    <t>Accepted</t>
  </si>
  <si>
    <t>International Journal of Technological Learning, Innovation, and Development</t>
  </si>
  <si>
    <t>https://www.inderscience.com/info/ingeneral/forthcoming.php?jcode=ijtlid</t>
  </si>
  <si>
    <t>10.1504/IJTLID.2025.10065144</t>
  </si>
  <si>
    <t xml:space="preserve">Perceived Threat and Self-Efficacy of the Community Organization Members to Earthquake and Tsunami in Indonesia
</t>
  </si>
  <si>
    <t>Nuraini Rahma Hanifa,  Widjo Kongko</t>
  </si>
  <si>
    <t xml:space="preserve"> Journal of earthquake and tsunami</t>
  </si>
  <si>
    <t xml:space="preserve">MASEM approach to reviewing SMEs E-commerce Adoption in Developing Countries
</t>
  </si>
  <si>
    <t>Dr. Shidiq Al Hakim, M.Eng.</t>
  </si>
  <si>
    <t>Dini Oktarina Dwi Handayani, Amin Tohari, Johanes Baptista</t>
  </si>
  <si>
    <t>The Effect of Providing Knowledge Construction as A Preparatory Activity on Learner’s Critical Thinking Achievement in Online Discussion</t>
  </si>
  <si>
    <t>Dr. Eng. Lia Sadita, S.Kom, M.Eng</t>
  </si>
  <si>
    <t>Lintang Matahari Hasani, Kasiyah Junus, Tsukasa Hirashima and Yusuke Hayashi</t>
  </si>
  <si>
    <t>CSCL Conference @ 2024 ISLS Annual Meeting</t>
  </si>
  <si>
    <t>https://repository.isls.org/handle/1/10559</t>
  </si>
  <si>
    <t>Fostering Higher-Level Inquiry in Online Asynchronous Discussion with Kit-Build Concept Mapping: A Case in Learning Linear Algebra</t>
  </si>
  <si>
    <t>Online Learning Journal</t>
  </si>
  <si>
    <t>https://olj.onlinelearningconsortium.org/index.php/olj</t>
  </si>
  <si>
    <t>Monitoring Restaurants Review Using Multi-label Sentiment Analysis Based on Sensory Characteristics of Food Quality</t>
  </si>
  <si>
    <t>Siti Rohajawati, Kurnia Romadhan, Bambang</t>
  </si>
  <si>
    <t>International Journal of Data Science and Analytics</t>
  </si>
  <si>
    <t>The use of Fuzzy Logic Controller and Artificial Bee Colony for optimizing adaptive SVSF in robot localization algorithm</t>
  </si>
  <si>
    <t>Heru Suwoyo, Muhammad Hafizd Ibnu Hajar, Prastika Indriyanti</t>
  </si>
  <si>
    <t>SINERGI</t>
  </si>
  <si>
    <t>https://publikasi.mercubuana.ac.id/index.php/sinergi/article/view/21775</t>
  </si>
  <si>
    <t>https://dx.doi.org/10.22441/sinergi.2024.2.003</t>
  </si>
  <si>
    <t>author tidak mencantumkan afiliasi BRIN</t>
  </si>
  <si>
    <t>A Lexical and Post-lexical Prosodic Documentation of Embaloh Language</t>
  </si>
  <si>
    <t>Dr. Foni Agus Setiawan, M.Kom.</t>
  </si>
  <si>
    <t>Dedy Ari Asfar, Irmayani, Yusup Irawan, Herpanus, Muhammad Pramulya</t>
  </si>
  <si>
    <t>Issues in Language Studies</t>
  </si>
  <si>
    <t>https://publisher.unimas.my/ojs/index.php/ILS/article/view/6025</t>
  </si>
  <si>
    <t>https://doi.org/10.33736/ils.6025.2024</t>
  </si>
  <si>
    <t>Target Strength of Eel from Echosounder and Calibrated Fish Finder Using Acoustic Measurement and Numerical Model</t>
  </si>
  <si>
    <t>Angga Dwinovantyo, Triyanto Triyanto, Endra 
Triwisesa, Octavianto Samir, Gadis Sri Haryani, Hendro Wibowo, Hidayat 
Hidayat, Fachmijany Sulawesty, Eva Nafisyah, Lukman Lukman, Fauzan Ali</t>
  </si>
  <si>
    <t>International Journal of Technology</t>
  </si>
  <si>
    <t>Feature Selection and Performance Evaluation of Buzzer Classification Model</t>
  </si>
  <si>
    <t>Radhiyatul Fajri, S.Kom, M.Pd.T, M.Kom.</t>
  </si>
  <si>
    <r>
      <rPr>
        <rFont val="Calibri"/>
        <color theme="1"/>
        <sz val="9.0"/>
      </rPr>
      <t xml:space="preserve">Harnum Annisa Prafitia, </t>
    </r>
    <r>
      <rPr>
        <rFont val="Calibri"/>
        <color rgb="FF1155CC"/>
        <sz val="9.0"/>
        <u/>
      </rPr>
      <t>S.Si</t>
    </r>
  </si>
  <si>
    <t>Ikhwan Arief, Aprinaldi Jasa Mantau</t>
  </si>
  <si>
    <t>Jurnal Optimasi Sistem Industri</t>
  </si>
  <si>
    <t>https://josi.ft.unand.ac.id/index.php/josi/article/view/718</t>
  </si>
  <si>
    <t>https://doi.org/10.25077/josi.v23.n1.p1-14.2024</t>
  </si>
  <si>
    <t>Enhanced You Only Look Once (YOLO) Approach for Automatic Plankton Detection</t>
  </si>
  <si>
    <t>Ovide Decroly Wisnu Ardhi</t>
  </si>
  <si>
    <t>IAES International Journal of Artificial Intelligence (IJ-AI)</t>
  </si>
  <si>
    <t>https://drive.google.com/file/d/1bwvH643W5eMFxXrrDQ-JYULi6B3Y9B09/view?usp=sharing</t>
  </si>
  <si>
    <t>Rice Phenology Classification Model Based on Sentinel-1 Using Machine 2 Learning Method on Google Earth Engine</t>
  </si>
  <si>
    <t>Hengki Muradi, M.Si.</t>
  </si>
  <si>
    <t>Alhadi Bustamam
Dede Dirgahayu Domiri
I Made Parsa
R. Johanes Manalu
Anisa Rarasati
I Kadek Yoga</t>
  </si>
  <si>
    <t>Canadian Journal of Remote Sensing</t>
  </si>
  <si>
    <t>https://www.scopus.com/record/display.uri?eid=2-s2.0-85198719274&amp;origin=resultslist</t>
  </si>
  <si>
    <t>https://doi.org/10.1080/07038992.2024.2368036</t>
  </si>
  <si>
    <t>Integration GSTARIMA with Deep Neural Network to Enhance Prediction Accuracy on Rainfall Data</t>
  </si>
  <si>
    <t>Budi Nurani Ruchjana           Atje Setiawan Abdullah         Hilman F Pardede</t>
  </si>
  <si>
    <t>Systems Science &amp; Control Engineering</t>
  </si>
  <si>
    <t>Review Round-2</t>
  </si>
  <si>
    <t>Performance of Weather Research Forecasting Model for Seasonal Prediction of Precipitation over Indonesian Maritime Continent</t>
  </si>
  <si>
    <t>Muh. Hafizh Izzaturrahim, S.Kom.</t>
  </si>
  <si>
    <t>Iis Sofiati, 
Amalia Nurlatifah, 
Erma Yulihastin, 
Candra Nur Ihsan, 
Sigit Kurniawan Jati Wicaksana, 
Rahmawati Syahdiza,
Rahaden Bagas Hatmaja, 
Lely Qodrita Avia, 
Asep Sandra Budiman, 
Haries Satyawardhana</t>
  </si>
  <si>
    <t xml:space="preserve">Kuwait Journal of Science </t>
  </si>
  <si>
    <t>Muh Hafizh Izzaturrahim_KJS_Revised.pdf</t>
  </si>
  <si>
    <t>https://doi.org/10.1016/j.kjs.2024.100293</t>
  </si>
  <si>
    <t>Analysing Halal Concerns on Korean Food Using Text-Mining: from Indonesian Netizens' Perspectives</t>
  </si>
  <si>
    <t>International Journal on Food System Dynamics</t>
  </si>
  <si>
    <t xml:space="preserve">Optimizing Indonesian Tweet Preprocessing for Halal Insights </t>
  </si>
  <si>
    <t>Firhan Imam Haekal</t>
  </si>
  <si>
    <t xml:space="preserve">IC3INA </t>
  </si>
  <si>
    <t>Analysis of Alternatives</t>
  </si>
  <si>
    <t>Bambang Setiadi</t>
  </si>
  <si>
    <t>BEEI</t>
  </si>
  <si>
    <t>Simple Grid Computing</t>
  </si>
  <si>
    <t>Zulkaida Akbar</t>
  </si>
  <si>
    <t>Performance of CNN and LSTM Model on COVID-19 News Headline Data Classification</t>
  </si>
  <si>
    <t>Dian Kurniasari, Luthfia Nur Azizah, Warsono</t>
  </si>
  <si>
    <t>Baghdad Science Journal</t>
  </si>
  <si>
    <t>Social Media Analysis: Women Politicians’ Use of Social Media in Indonesia</t>
  </si>
  <si>
    <t>Dr. DIPL. ING (FH) Anne Parlina, M.P.</t>
  </si>
  <si>
    <t>Riri Kusumarani, Darmawati MR, Ari Cahyo Nugroho</t>
  </si>
  <si>
    <t>SEARCH JOURNAL OF MEDIA AND COMMUNICATION RESEARCH</t>
  </si>
  <si>
    <t>Slum segmentation using deep learning</t>
  </si>
  <si>
    <t>Standardized Incidence Ratio of Dengue Fever in Central Java: A spatioal-temporal approach</t>
  </si>
  <si>
    <t>Decoding the Twitter Tapestry: A Comprehensive Analysis of Public Sentiment and Engagement in Supply Chain Discourse</t>
  </si>
  <si>
    <t>Ahmad Syafruddin Indrapriyatna, Asep Kuswandi Supriatna, Yedi Purwanto, Ikhwan Arief</t>
  </si>
  <si>
    <t>ISITDI 2nd INTERNATIONAL SYMPOSIUM ON INFORMATION TECHNOLOGY
AND DIGITAL INNOVATIONS</t>
  </si>
  <si>
    <t>Skin Microbial Composition and Genetic Mutation Analysis in Precision Medicine for Epidermolysis Bullosa</t>
  </si>
  <si>
    <t>Inna Syafarina, Maulida Mazaya, Sharfina Zahra Akbar, Caecilia Sukowati, Rifki Sadikin</t>
  </si>
  <si>
    <t>Current Drug Targets</t>
  </si>
  <si>
    <t>https://www.scopus.com/record/display.uri?eid=2-s2.0-85195274552&amp;origin=resultslist</t>
  </si>
  <si>
    <t>https://doi.org/10.2174/0113894501290512240327091531</t>
  </si>
  <si>
    <t>Otomatisasi Pendeteksi Kata Baku Dan Tidak Baku Pada Data Twitter Berbasis KBBI</t>
  </si>
  <si>
    <t>M. Irfan Raif, Tekad Matulatan</t>
  </si>
  <si>
    <t>Jurnal Teknologi Informasi dan Ilmu Komputer (JTIIK)</t>
  </si>
  <si>
    <t>https://jtiik.ub.ac.id/index.php/jtiik/article/view/7404</t>
  </si>
  <si>
    <r>
      <rPr>
        <rFont val="Calibri"/>
        <color rgb="FF0000FF"/>
        <sz val="9.0"/>
      </rPr>
      <t xml:space="preserve"> </t>
    </r>
    <r>
      <rPr>
        <rFont val="Calibri"/>
        <color rgb="FF1155CC"/>
        <sz val="9.0"/>
        <u/>
      </rPr>
      <t>https://doi.org/10.25126/jtiik.20241127404</t>
    </r>
  </si>
  <si>
    <t>harusnya masuk PN (publikasi nasional) akreditasi SInta</t>
  </si>
  <si>
    <t>Emotional   Game   Hypothetical   Inquiry   Learning   Model   to Empower Student Socioscientific Argumentation Skills</t>
  </si>
  <si>
    <t>Maulinia   Ceisar   Aksara   Aji,   Sajidan,   Suranto,   Sentot   Budi   Rahardjo</t>
  </si>
  <si>
    <t>Migration Letters</t>
  </si>
  <si>
    <t>https://migrationletters.com/index.php/ml/article/view/8983/5826</t>
  </si>
  <si>
    <t>https://reputasipublikasi.brin.go.id/dashboard?option=judul&amp;keyword=MIGRATION+LETTERS&amp;key=9941f869-fb6f-4a6a-a2c5-321985ab7206&amp;tahun=2022</t>
  </si>
  <si>
    <t>Usability Evaluation and Interface Design Improvement for the Maxim Application with User-Centered Design Approach</t>
  </si>
  <si>
    <t>Rajendra Daniel Saksono, Dinar Sulistyorini, Syifa Rizka Sagita, Kasiyah</t>
  </si>
  <si>
    <t>https://jsi.cs.ui.ac.id/index.php/jsi/article/view/1377</t>
  </si>
  <si>
    <t>https://doi.org/10.21609/jsi.v20i1.1377</t>
  </si>
  <si>
    <t>Motivations and Potential Solutions in Developing a Knowledge Management System for Organization at Higher Education: A Systematic Literature Review</t>
  </si>
  <si>
    <t>Nandhita Zefania Maharani, Shabrina Salsabila Kurniawan, Dana Indra Sensuse, Imairi Eitiveni, Erisva Hakiki Purwaningsih</t>
  </si>
  <si>
    <t>Journal of Information Systems Engineering and Business Intelligence</t>
  </si>
  <si>
    <t>https://e-journal.unair.ac.id/JISEBI/article/view/54976</t>
  </si>
  <si>
    <t>https://doi.org/10.20473/jisebi.10.2.270-289</t>
  </si>
  <si>
    <t>sudah terindeks scopus tetapi belum memiliki Quartiles pada scimago karena baru terindeks scopus</t>
  </si>
  <si>
    <t xml:space="preserve">Chili Leaf Segmentation Using Meta-Learning  for Improved Model Accuracy </t>
  </si>
  <si>
    <t>Bulletin of Electrical Engineering and Informatics,</t>
  </si>
  <si>
    <t>RECOMMENDATION FOR AN ONLINE SHOPPING PAY-LATER SYSTEM USING A MULTISTAGE APPROACH: A CASE STUDY FROM INDONESIA</t>
  </si>
  <si>
    <t>Nuryani</t>
  </si>
  <si>
    <t>Interdisciplinary Journal of Information, Knowledge, and Management</t>
  </si>
  <si>
    <t>A Simple Contrastive Embedding Framework for Low-Resource Fake News Detection</t>
  </si>
  <si>
    <t>Iftitahu Ni'mah, S.Kom., M.I.T.</t>
  </si>
  <si>
    <t>Dr. Rini Wijayanti, S.Kom.,
 M.Kom.</t>
  </si>
  <si>
    <t>Agung Santosa, BSEE, M.Kom</t>
  </si>
  <si>
    <r>
      <rPr>
        <rFont val="Calibri"/>
        <color theme="1"/>
        <sz val="9.0"/>
      </rPr>
      <t xml:space="preserve">Dr. Dipl.(FH) Ing Asril, </t>
    </r>
    <r>
      <rPr>
        <rFont val="Calibri"/>
        <color rgb="FF1155CC"/>
        <sz val="9.0"/>
        <u/>
      </rPr>
      <t>M.Sc</t>
    </r>
  </si>
  <si>
    <r>
      <rPr>
        <rFont val="Calibri"/>
        <color theme="1"/>
        <sz val="9.0"/>
      </rPr>
      <t xml:space="preserve">Ir. Tri Sampurno, </t>
    </r>
    <r>
      <rPr>
        <rFont val="Calibri"/>
        <color rgb="FF1155CC"/>
        <sz val="9.0"/>
        <u/>
      </rPr>
      <t>M.Sc</t>
    </r>
  </si>
  <si>
    <t>Dr. M. Teduh Uliniansyah</t>
  </si>
  <si>
    <t>Meng Fang, Vlado Menkovski, Mykola Pechenizkiy</t>
  </si>
  <si>
    <t>Neural Computing and Applications</t>
  </si>
  <si>
    <t>WebFactCheck: Web-Based Knowledge-Grounded Fact-Checking with Summarization</t>
  </si>
  <si>
    <t>Qin Zhang, Ke Xu, Meng Fang</t>
  </si>
  <si>
    <t>Empirical Methods in Natural Language Processing (EMNLP) 2024</t>
  </si>
  <si>
    <r>
      <rPr>
        <rFont val="Calibri"/>
        <color theme="1"/>
        <sz val="9.0"/>
      </rPr>
      <t xml:space="preserve">Tier-1 Konferensi internasional di bidang Computational Linguistics (Rank A*) berdasarkan </t>
    </r>
    <r>
      <rPr>
        <rFont val="Calibri"/>
        <color rgb="FF1155CC"/>
        <sz val="9.0"/>
        <u/>
      </rPr>
      <t>https://portal.core.edu.au/conf-ranks/?search=emnlp&amp;by=all&amp;source=all&amp;sort=atitle&amp;page=1</t>
    </r>
  </si>
  <si>
    <t>End-to-End Phoneme Recognition in Bahasa Indonesia with Pretrained Speech Embeddings and 1D-CNN Using CTC</t>
  </si>
  <si>
    <r>
      <rPr>
        <rFont val="Calibri"/>
        <color theme="1"/>
        <sz val="9.0"/>
      </rPr>
      <t xml:space="preserve">Dr. Dipl.(FH) Ing Asril, </t>
    </r>
    <r>
      <rPr>
        <rFont val="Calibri"/>
        <color rgb="FF1155CC"/>
        <sz val="9.0"/>
        <u/>
      </rPr>
      <t>M.Sc</t>
    </r>
  </si>
  <si>
    <r>
      <rPr>
        <rFont val="Calibri"/>
        <color theme="1"/>
        <sz val="9.0"/>
      </rPr>
      <t xml:space="preserve">Ir. Tri Sampurno, </t>
    </r>
    <r>
      <rPr>
        <rFont val="Calibri"/>
        <color rgb="FF1155CC"/>
        <sz val="9.0"/>
        <u/>
      </rPr>
      <t>M.Sc</t>
    </r>
  </si>
  <si>
    <t>IC3INA</t>
  </si>
  <si>
    <t>The Development of A Digital Transformation Model for Higer Education using the Object-Process Methodology</t>
  </si>
  <si>
    <t>Aria Bisri, S.Kom.</t>
  </si>
  <si>
    <t>RIO NURTANTYANA</t>
  </si>
  <si>
    <t>Atina Putri, Allya Paramita Koesoema, Yusep Rosmansyah</t>
  </si>
  <si>
    <t>Effectiveness of Landslide Susceptibility Mapping Using the Maximum Entropy Model and Weights of Evidence Modelling in the Kuningan Regency, West Java, Indonesia</t>
  </si>
  <si>
    <t>Wawan Hendriawan Nur, S.Si., M.T.</t>
  </si>
  <si>
    <t>Mamat Suhermat, Khori Sugianti, Yunarto Yunarto, Yugo Kumoro, Sukristiyanti, Hilda Lestiana</t>
  </si>
  <si>
    <t>Rudarsko Geolosko Naftni Zbornik</t>
  </si>
  <si>
    <t>View of Effectiveness of Landslide Susceptibility Mapping Using the Maximum Entropy Model and Weights of Evidence Modelling in the Kuningan Regency, West Java, Indonesia (srce.hr)</t>
  </si>
  <si>
    <t>10.17794/rgn.2024.3.3</t>
  </si>
  <si>
    <t>A Comprehensive Review of Data Augmentation in Low Resource Language Text Translation</t>
  </si>
  <si>
    <r>
      <rPr>
        <rFont val="Calibri"/>
        <color theme="1"/>
        <sz val="9.0"/>
      </rPr>
      <t xml:space="preserve">Dr. Dipl.(FH) Ing Asril, </t>
    </r>
    <r>
      <rPr>
        <rFont val="Calibri"/>
        <color rgb="FF1155CC"/>
        <sz val="9.0"/>
        <u/>
      </rPr>
      <t>M.Sc</t>
    </r>
  </si>
  <si>
    <t>Siska Pebiana S.Kom., M.Kom.</t>
  </si>
  <si>
    <t>Enhancing Bugis Language POS Tagging with RNN and Semi-Supervised Learning</t>
  </si>
  <si>
    <t>Dr. Eng. Ir Yuyun, S.Kom., M.T</t>
  </si>
  <si>
    <t>Monitoring Asthma Patients using Non-contact Radar Device for Early Detection of Respiratory Failure</t>
  </si>
  <si>
    <t xml:space="preserve">Dr. Kokoy Siti Komariah S.Kom., M.T., M.Eng.
</t>
  </si>
  <si>
    <t>Ariana Tulus Purnomo
Ding-Bing Lin
Muhammad Agni Catur Bhakti
Rafie Djajasoepena
Willy Fitra Hendria
Bong-Kee Sin</t>
  </si>
  <si>
    <t>Indonesian Journal of Electrical Engineering and Computer Science (IJEECS)</t>
  </si>
  <si>
    <t>https://ijeecs.iaescore.com/index.php/IJEECS</t>
  </si>
  <si>
    <t>Automatic Speech Recognition for Indonesian Medical Dictation in Cloud Environment</t>
  </si>
  <si>
    <r>
      <rPr>
        <rFont val="Arial"/>
        <color theme="1"/>
        <sz val="10.0"/>
      </rPr>
      <t xml:space="preserve">Dr. Dipl.(FH) Ing Asril, </t>
    </r>
    <r>
      <rPr>
        <rFont val="Arial"/>
        <color rgb="FF1155CC"/>
        <sz val="10.0"/>
        <u/>
      </rPr>
      <t>M.Sc</t>
    </r>
  </si>
  <si>
    <t>Ir. Gunarso</t>
  </si>
  <si>
    <t>Lyla Ruslana Aini</t>
  </si>
  <si>
    <t>https://ijai.iaescore.com/index.php/IJAI/article/view/24181</t>
  </si>
  <si>
    <t>http://doi.org/10.11591/ijai.v13.i2.pp1762-1772</t>
  </si>
  <si>
    <t>Makalah ini belum diklaim sebagai PK Individu periset dari Publikasi Internasional (SKP2023) namun diklaim sebagai KKM (SKP 2023). Makalah tahun ini berstatus publikasi pada bulan Juni 2024 dan akan diajukan untuk PK individu periset dari Publikasi Internasional (SKP 2024)</t>
  </si>
  <si>
    <t>Neural MachineTranslation with Bidirectional RNN: A Case Study of Indonesian-Mamuju</t>
  </si>
  <si>
    <r>
      <rPr>
        <rFont val="Calibri"/>
        <color theme="1"/>
        <sz val="9.0"/>
      </rPr>
      <t xml:space="preserve">Dr. Dipl.(FH) Ing Asril, </t>
    </r>
    <r>
      <rPr>
        <rFont val="Calibri"/>
        <color rgb="FF1155CC"/>
        <sz val="9.0"/>
        <u/>
      </rPr>
      <t>M.Sc</t>
    </r>
  </si>
  <si>
    <t>Hazriani, Munawirah, Zahrani</t>
  </si>
  <si>
    <t>Intelligent Systems with Applications</t>
  </si>
  <si>
    <t>https://www.sciencedirect.com/journal/intelligent-systems-with-applications</t>
  </si>
  <si>
    <t>Comparative Analysis of POS Tagging Methods for the Bugis Language: From Statistical to Neural Approaches</t>
  </si>
  <si>
    <t>Pammuda, Mutahharah Nemin Kaharuddin, ⁠Ita Rosvita, Nurfaedah, Hazrian</t>
  </si>
  <si>
    <t>Deep Learning Part-of-Speech Tagging for Cia-Cia and Buginese For Low Resources Languages</t>
  </si>
  <si>
    <r>
      <rPr>
        <rFont val="Calibri"/>
        <color theme="1"/>
        <sz val="9.0"/>
      </rPr>
      <t xml:space="preserve">Ir. Tri Sampurno, </t>
    </r>
    <r>
      <rPr>
        <rFont val="Calibri"/>
        <color rgb="FF1155CC"/>
        <sz val="9.0"/>
        <u/>
      </rPr>
      <t>M.Sc</t>
    </r>
  </si>
  <si>
    <t>Zahrani, Hazriani, Nurfaedah, Najirah Umar, Munawir</t>
  </si>
  <si>
    <r>
      <rPr>
        <rFont val="Calibri"/>
        <b val="0"/>
        <color theme="1"/>
        <sz val="9.0"/>
      </rPr>
      <t>PJ : Tambahan sivitas PRSDI ketika sudah dilakukan Periode Stamp (</t>
    </r>
    <r>
      <rPr>
        <rFont val="Calibri"/>
        <b/>
        <color theme="1"/>
        <sz val="9.0"/>
      </rPr>
      <t>Siska Pebiana S.Kom., M.Kom.)</t>
    </r>
  </si>
  <si>
    <t>Analysis of Fraud Attacks Using Android Package Kit (APK) in Indonesia</t>
  </si>
  <si>
    <t>Sopian Amir, S.Kom</t>
  </si>
  <si>
    <t>Armita Widyasuri, S.Kom</t>
  </si>
  <si>
    <t>Dimas Febriyan Priambodo, Abdul Azzam Ajhari</t>
  </si>
  <si>
    <t>Evaluation of e-Government Audit Tools Application using System Usability Scale (SUS) Method</t>
  </si>
  <si>
    <t>Retno Anggreini Dyah Ayuningtias, S.Kom</t>
  </si>
  <si>
    <t>Wardatul Hanifah, S.Kom</t>
  </si>
  <si>
    <t>Mochammad Fikri, S.Kom</t>
  </si>
  <si>
    <r>
      <rPr>
        <rFont val="Calibri"/>
        <color theme="1"/>
        <sz val="9.0"/>
      </rPr>
      <t xml:space="preserve">Friyogi Resvy Mahda, </t>
    </r>
    <r>
      <rPr>
        <rFont val="Calibri"/>
        <color rgb="FF1155CC"/>
        <sz val="9.0"/>
        <u/>
      </rPr>
      <t>S.Si</t>
    </r>
  </si>
  <si>
    <t>Jurnal IPTEK-KOM (Jurnal Ilmu Pengetahuan dan Teknologi Komunikasi)</t>
  </si>
  <si>
    <t>Makalah ini dijadikan sebagai capaian KKM Kategori 1, yakni 'Karya tulis ilmiah yang diterbitkan atau accepted di jurnal ilmiah terakreditasi nasional pada tahun berjalan'</t>
  </si>
  <si>
    <t>Security Analysis of Audit Tools</t>
  </si>
  <si>
    <t>Dimas Febriyan Priambodo, Abdul Azzam Ajhari, Septia Sunaringtyas</t>
  </si>
  <si>
    <t>Unlocking insights from Ministry of Marine Affairs and Fisheries annual reports using LDA: a deep dive into SDG 14</t>
  </si>
  <si>
    <t>Ahmad Marzuqi; Prana Ugiana Gio; Rung Chin Chen; Maengseok Noh; Bens Pardamean</t>
  </si>
  <si>
    <t>Telkomnika</t>
  </si>
  <si>
    <t>https://www.scopus.com/record/display.uri?eid=2-s2.0-85197177470&amp;origin=resultslist</t>
  </si>
  <si>
    <t>https://doi.org/10.12928/TELKOMNIKA.v22i4.26063</t>
  </si>
  <si>
    <t>Flank wear detection with signal variational mode decomposition and support vector machine algorithm</t>
  </si>
  <si>
    <t>Nimas Ayu Untariyati, S.Kom, M.T.I</t>
  </si>
  <si>
    <t>Achmad Zaki Rahman; Khairul Jauhari; Mahfudz Al Huda; Muizuddin Azka; Juliansyah; Rusnaldy; Achmad Widodo</t>
  </si>
  <si>
    <t>AIP Conference Publishing</t>
  </si>
  <si>
    <t>https://pubs.aip.org/aip/acp/article-abstract/3069/1/020083/3306096/Flank-wear-detection-with-signal-variational-mode?redirectedFrom=PDF</t>
  </si>
  <si>
    <t>https://doi.org/10.1063/5.0205683</t>
  </si>
  <si>
    <t>KEKAYAAN INTELEKTUAL</t>
  </si>
  <si>
    <t>INVENTOR SIVITAS PRSDI</t>
  </si>
  <si>
    <t>PENDAFTARAN</t>
  </si>
  <si>
    <t>SERTIFIKAT</t>
  </si>
  <si>
    <t>EVIDEN/DAKUNG</t>
  </si>
  <si>
    <t>TANGGAL</t>
  </si>
  <si>
    <t>LINK UPLOAD</t>
  </si>
  <si>
    <t>STATUS UPLOAD</t>
  </si>
  <si>
    <t>direct evidence</t>
  </si>
  <si>
    <t>Bat Identification</t>
  </si>
  <si>
    <t>Gono Semiadi, Imas Sukaesih Sitanggang, Ni Luh Putu Rischa Phadmacanty, Nanang Supriatna</t>
  </si>
  <si>
    <t>Tersertifikasi</t>
  </si>
  <si>
    <t>Hak Cipta</t>
  </si>
  <si>
    <t>EC00202474472</t>
  </si>
  <si>
    <t>KI</t>
  </si>
  <si>
    <t>Sudah</t>
  </si>
  <si>
    <t>METASPEAK: PLATFORM PEMBELAJARAN MULTI-BAHASA
MANDIRI BERBASIS METAVERSE UNTUK MENGATASI
KECEMASAN BERBAHASA</t>
  </si>
  <si>
    <t>Kemas Muslim, dkk</t>
  </si>
  <si>
    <t>Terdaftar DJKI</t>
  </si>
  <si>
    <t>EC00202434095</t>
  </si>
  <si>
    <t>inventor tidak mencantumkan afiliasi BRIN jadi tidak bisa diklaim</t>
  </si>
  <si>
    <t>AVRKom (Aplikasi VR Lab Komputer)</t>
  </si>
  <si>
    <t>Muhammad Mughni, Aang Gunawan, Arief Hermawan</t>
  </si>
  <si>
    <t>Belum</t>
  </si>
  <si>
    <t>GANA (Game Asset Nusantara)</t>
  </si>
  <si>
    <t>Hammam Ahmad Hanif, Farhan Maulana Iqbal, Ahmad Ghozali, Dr. Dian Andrianam S.T., M.T., Aang Gunawan S., S.Kom., M.T., Imam Alhafizi, Fri Ady Fadillah, Aurelia Sandi Rahardjo, Ida Ayu Adya Priti Karuni, Nathania Felicia Gunadi, Yolanda, Drs. Agus Setiawan, Int., M.Sn., Dr.Sn. Yusup Sigit Martyastiadi, S.T., M.Inf.Tech., Lalitya Talitha Pinasthika, M.Ds.</t>
  </si>
  <si>
    <t>Aplikasi Pemodelan Topik untuk Ekstraksi Informasi Menggunakan Parameter Bertopic Optimal</t>
  </si>
  <si>
    <r>
      <rPr>
        <rFont val="Calibri"/>
        <color theme="1"/>
        <sz val="9.0"/>
      </rPr>
      <t xml:space="preserve">Siti Shaleha, </t>
    </r>
    <r>
      <rPr>
        <rFont val="Calibri"/>
        <color rgb="FF1155CC"/>
        <sz val="9.0"/>
        <u/>
      </rPr>
      <t>S.ST</t>
    </r>
  </si>
  <si>
    <t>Aang Gunawan S S.Kom., M.T.</t>
  </si>
  <si>
    <t>sedang dalam proses review</t>
  </si>
  <si>
    <t>Sistem pengolahan data sitasi dalam teks</t>
  </si>
  <si>
    <t>Metode Pembuatan Dan Pembaharuan Knowledge Graph Serta Penentuan Pertanyaan Selanjutnya Pada Layanan Chatbot Identifikasi Tumbuhan Berbiji (Spermatophyta)</t>
  </si>
  <si>
    <t>Zaenal Akbar, Dwi S. Rini</t>
  </si>
  <si>
    <t>Paten</t>
  </si>
  <si>
    <t>Bi-Project Aplikasi Penerjemahan Bahasa Isyarat Indonesia
(BISINDO) Berbasis Web</t>
  </si>
  <si>
    <t>Edy Maryadi,
Syahrul,
Dea Maulidya,
Risnandar,
Dian Andriana</t>
  </si>
  <si>
    <t>EC00202442772</t>
  </si>
  <si>
    <t>Muh. Hafizh I_Surat Pencatatan Hak Cipta Biproject.pdf</t>
  </si>
  <si>
    <t>DCPC: drug candidates for the prevention of COVID-19</t>
  </si>
  <si>
    <t>Raden Sandra Yuwana
Hilman Ferdinandus Pardede
Vicky Zilvan
Ana Heryana
Jimmy Abdel Kadar
Candra Nur Ihsan
Asri Rizki Yuliani
Ade Ramdan
Endang Suryawati
Dikdik Krisnandi
Ns. Heni Dwi Windarwati</t>
  </si>
  <si>
    <t>EC00202455899</t>
  </si>
  <si>
    <t>https://drive.google.com/file/d/12xIUu9OEs2AFqg07CYURonvAedkrs8tY/view?usp=sharing</t>
  </si>
  <si>
    <t>Watershed Health Assessment System (WHAS)</t>
  </si>
  <si>
    <t>Irfan Budi Pramono, Budi Heru Santosa, Agus Wuryanta, Rachmat Fajar Lubis, Galdita Aruba Chulafak, Novita Br Ginting</t>
  </si>
  <si>
    <t>2024-1719989565-bkvd</t>
  </si>
  <si>
    <t>https://intipdaqu.brin.go.id/proses-hki/show/2024-1719989565-bkvd</t>
  </si>
  <si>
    <t>AViRSinami (Applikasi Virtual Reality SImulasi Tsunami)</t>
  </si>
  <si>
    <t>Nuraini Rahma Hanifa, Eko Yulianto, Achmad Fakhrus Shomim, Wiwin Windupranata, Sahla Hamidah, Wahyu Zulya Syaputra</t>
  </si>
  <si>
    <t>IndoBugis 10K - Dataset Korpus Paralel Bahasa Indonesia - Bugis</t>
  </si>
  <si>
    <r>
      <rPr>
        <rFont val="Calibri"/>
        <color theme="1"/>
        <sz val="9.0"/>
      </rPr>
      <t xml:space="preserve">Ir. Tri Sampurno, </t>
    </r>
    <r>
      <rPr>
        <rFont val="Calibri"/>
        <color rgb="FF1155CC"/>
        <sz val="9.0"/>
        <u/>
      </rPr>
      <t>M.Sc</t>
    </r>
  </si>
  <si>
    <t>Siska Pebiana</t>
  </si>
  <si>
    <t>Dataset VR Lab Komputer</t>
  </si>
  <si>
    <t>Aang Gunawan</t>
  </si>
  <si>
    <t>PosTagBugis3K - Dataset Part-of-Speech Tag Korpus Bahasa Bugis</t>
  </si>
  <si>
    <r>
      <rPr>
        <rFont val="Calibri"/>
        <color theme="1"/>
        <sz val="9.0"/>
      </rPr>
      <t xml:space="preserve">Ir. Tri Sampurno, </t>
    </r>
    <r>
      <rPr>
        <rFont val="Calibri"/>
        <color rgb="FF1155CC"/>
        <sz val="9.0"/>
        <u/>
      </rPr>
      <t>M.Sc</t>
    </r>
  </si>
  <si>
    <t>Gusnawati, Pammuda, Mutahharah Nemin Kaharuddin, Ita Rosvita, Nurfaedah, Hazriani.</t>
  </si>
  <si>
    <t>Nuraisa Novia Hidayati</t>
  </si>
  <si>
    <t>Chatbot Lisa (Hemodialisa) versi 1.0</t>
  </si>
  <si>
    <t>Eneng Ulfifauziah,
Kakang Permana Saputra</t>
  </si>
  <si>
    <t>Dataset Berita Palsu Bahasa Indonesia dengan Penelusuran Fakta Berbasis LLM</t>
  </si>
  <si>
    <r>
      <rPr>
        <rFont val="Calibri"/>
        <color theme="1"/>
        <sz val="9.0"/>
      </rPr>
      <t xml:space="preserve">Dr. Dipl.(FH) Ing Asril, </t>
    </r>
    <r>
      <rPr>
        <rFont val="Calibri"/>
        <color rgb="FF1155CC"/>
        <sz val="9.0"/>
        <u/>
      </rPr>
      <t>M.Sc</t>
    </r>
  </si>
  <si>
    <t>Ke Xu</t>
  </si>
  <si>
    <t>Sistem Pengenalan Wicara Otomatis Pendiktean Medis Bahasa Indonesia di Lingkungan Komputasi Awan</t>
  </si>
  <si>
    <r>
      <rPr>
        <rFont val="Calibri"/>
        <color theme="1"/>
        <sz val="9.0"/>
      </rPr>
      <t xml:space="preserve">Dr. Dipl.(FH) Ing Asril, </t>
    </r>
    <r>
      <rPr>
        <rFont val="Calibri"/>
        <color rgb="FF1155CC"/>
        <sz val="9.0"/>
        <u/>
      </rPr>
      <t>M.Sc</t>
    </r>
  </si>
  <si>
    <t>P 00202315112</t>
  </si>
  <si>
    <t>https://drive.google.com/file/d/1x8fA6k-J1ot2SGDnFoFsp_taoQJjOI0M/view?usp=sharing</t>
  </si>
  <si>
    <t>IndoCia-Cia 60K Dataset Korpus Paralel Bahasa Indonesia ke Bahasa Cia-Cia</t>
  </si>
  <si>
    <t>Dataset Kalimat Paralel Bahasa Makassar dan Bahasa Indonesia</t>
  </si>
  <si>
    <r>
      <rPr>
        <rFont val="Calibri"/>
        <color theme="1"/>
        <sz val="9.0"/>
      </rPr>
      <t xml:space="preserve">Ir. Tri Sampurno, </t>
    </r>
    <r>
      <rPr>
        <rFont val="Calibri"/>
        <color rgb="FF1155CC"/>
        <sz val="9.0"/>
        <u/>
      </rPr>
      <t>M.Sc</t>
    </r>
  </si>
  <si>
    <t>APLIKASI SISTEM PENDUKUNG KEPUTUSAN (DSS) SEMAR REBORN: PERIKANAN</t>
  </si>
  <si>
    <t>1 Rahaden Bagas Hatmaja
2 Muh. Hafizh Izzaturrahim
3 Syahda Romansyah
4 Riska Rahmadhani 
5 Umu Aemanah
6 Revani Kusmawati
7 Nisa Hoeriah
8 Nadia Pradityananda Marshaivana
9 Arianti Nurul Kholfi
10 Mutiara Destiani Tantri
11 Albertus Sulaiman
12 Subekti Mujiasih
13 Herlina Ika Ratnawati
14 Erma Yulihastin
15 Johanis Dominggus Lekalette
16 Mario Putra Suhana
17 Achmad Fachruddin Syah
18 Moch. Furqon Azis Ismail
19 Widodo Setiyo Pranowo</t>
  </si>
  <si>
    <t>EC00202480381</t>
  </si>
  <si>
    <t>Muh. Hafizh I_Hak Cipta SEMAR.pdf</t>
  </si>
  <si>
    <t>PURWARUPA</t>
  </si>
  <si>
    <t>SIVITAS PRSDI</t>
  </si>
  <si>
    <t>MEMILIKI MITRA  ?</t>
  </si>
  <si>
    <t>NAMA MITRA</t>
  </si>
  <si>
    <t>SobatGizi</t>
  </si>
  <si>
    <t>Al Hafiz Akbar Maulana Siagian, Ph.D.</t>
  </si>
  <si>
    <t>Dr. Lestari Octavia, S.Si., M.Sc., Dr. Fitrianingsih, S.Kom., M.M.S.I, Chandra Wijaya, Devi Ayu Lestari, Konstan Damai Telaumbanua, Muhammad Arya Nurarif</t>
  </si>
  <si>
    <t>Software Prototype</t>
  </si>
  <si>
    <t>PWRP</t>
  </si>
  <si>
    <t>Selesai Pembuatan</t>
  </si>
  <si>
    <t>Chatbot LISA</t>
  </si>
  <si>
    <t>E-Voting</t>
  </si>
  <si>
    <t>Dra. Andrari Grahitandaru M.Sc.</t>
  </si>
  <si>
    <t>Drs. Zain Saifullah M.Sc.</t>
  </si>
  <si>
    <t>Miranti Jatnika Riski S.Kom</t>
  </si>
  <si>
    <t>AVRKom</t>
  </si>
  <si>
    <t>Muhammad Mughni</t>
  </si>
  <si>
    <t>https://drive.google.com/file/d/1Kkn5dCs1JSw2q9zXRXph7fNkAEDVSBKl/view?usp=sharing</t>
  </si>
  <si>
    <r>
      <rPr>
        <rFont val="Calibri"/>
        <color theme="1"/>
        <sz val="9.0"/>
      </rPr>
      <t xml:space="preserve">evidence ada, belum lisensi
</t>
    </r>
    <r>
      <rPr>
        <rFont val="Calibri"/>
        <b/>
        <color theme="1"/>
        <sz val="9.0"/>
      </rPr>
      <t xml:space="preserve">PJ : Tambahan Sivitas
Aria Bisri, S.Kom.
</t>
    </r>
    <r>
      <rPr>
        <rFont val="Calibri"/>
        <color rgb="FF1155CC"/>
        <sz val="9.0"/>
        <u/>
      </rPr>
      <t>https://docs.google.com/presentation/d/1WMnAidoeNJ-csdQCfZxZlhFQiP90YI2F/edit?usp=sharing&amp;ouid=101798751124829282603&amp;rtpof=true&amp;sd=true</t>
    </r>
  </si>
  <si>
    <t>GANA</t>
  </si>
  <si>
    <t>Hammam Ahmad, Farhan Maulana Iqbal, Ahmad Ghozali</t>
  </si>
  <si>
    <t>Skala Uji Lab</t>
  </si>
  <si>
    <t>IdeCABE</t>
  </si>
  <si>
    <t>PlanktoScan</t>
  </si>
  <si>
    <t>DigitalTwin/VR Parking Area</t>
  </si>
  <si>
    <t>iHoya</t>
  </si>
  <si>
    <t>Gibtha Fitri Laxmi, M.Kom , Hurriyatul Fitriyah, S.T., M.Sc.</t>
  </si>
  <si>
    <t>Pembuatan</t>
  </si>
  <si>
    <t>PJ : Tambahan Sivitas
Slamet Riyanto S.Kom., M.M.S.I., 
Al Hafiz Akbar Maulana Siagian, Ph.D., 
Niken Fitria Apriani S.Kom. M.Kom.,</t>
  </si>
  <si>
    <t>Meta Speak</t>
  </si>
  <si>
    <t>Sertifikasi</t>
  </si>
  <si>
    <t>Telkom University</t>
  </si>
  <si>
    <t>https://docs.google.com/presentation/d/1OxYFIML7YBXhZrYQJm5-WWVXHOhWYE-B/edit?usp=sharing&amp;ouid=101798751124829282603&amp;rtpof=true&amp;sd=true</t>
  </si>
  <si>
    <r>
      <rPr>
        <rFont val="Calibri"/>
        <color rgb="FF000000"/>
        <sz val="9.0"/>
        <u/>
      </rPr>
      <t xml:space="preserve">https://metaspeak.id/
</t>
    </r>
    <r>
      <rPr>
        <rFont val="Calibri"/>
        <color theme="1"/>
        <sz val="9.0"/>
      </rPr>
      <t>evidence sudah ada, lisensi belum</t>
    </r>
  </si>
  <si>
    <t>AViRSinami (Applikasi VR Tsunami "Cilacap")</t>
  </si>
  <si>
    <t xml:space="preserve">PJ : Tambahan Sivitas
Slamet Riyanto S.Kom., M.M.S.I., </t>
  </si>
  <si>
    <t>Dashboard Smart Tourism</t>
  </si>
  <si>
    <t>Ery Setiyawan Jullev A
dan Tim Politeknik  Jember</t>
  </si>
  <si>
    <t>Perancangan</t>
  </si>
  <si>
    <t>PT.  Global Data Inspirasi</t>
  </si>
  <si>
    <t>Sedang dalam proses pengerjaan</t>
  </si>
  <si>
    <t>Bahasan</t>
  </si>
  <si>
    <t>Dedy Ari Asfar, Irmayani, Yusup Irawan, Herpanus, Muhammad Pramulya, Lilian Slow</t>
  </si>
  <si>
    <t>https://bahasan.org/admin.php</t>
  </si>
  <si>
    <t>https://whas.web.id/</t>
  </si>
  <si>
    <t>Sistem Pengenalan Wicara Otomatis untuk Pendiktean Medis (SPWPM)</t>
  </si>
  <si>
    <r>
      <rPr>
        <rFont val="Calibri"/>
        <color theme="1"/>
        <sz val="8.0"/>
      </rPr>
      <t xml:space="preserve">Dr. Dipl.(FH) Ing Asril, </t>
    </r>
    <r>
      <rPr>
        <rFont val="Calibri"/>
        <color rgb="FF1155CC"/>
        <sz val="8.0"/>
        <u/>
      </rPr>
      <t>M.Sc</t>
    </r>
  </si>
  <si>
    <t>Lisensi</t>
  </si>
  <si>
    <t>Lab247</t>
  </si>
  <si>
    <t>https://docs.google.com/presentation/d/1uyVQQO9UWWmW1DxU4MFMvyfPPU28vCNZ/edit?usp=sharing&amp;ouid=101798751124829282603&amp;rtpof=true&amp;sd=true</t>
  </si>
  <si>
    <t>sudah lisensi.Mohon dilengkapi dengan evidence PKS lisensi nya</t>
  </si>
  <si>
    <t>DANA EKSTERNAL DAN PERJANJIAN KERJASAMA</t>
  </si>
  <si>
    <t>PIC/KORD KEGIATAN (SIVITAS PRSDI)</t>
  </si>
  <si>
    <t>KERJA SAMA</t>
  </si>
  <si>
    <t>PERJANJIAN</t>
  </si>
  <si>
    <t>Tahun PKS</t>
  </si>
  <si>
    <t>link bukti dukung</t>
  </si>
  <si>
    <t>TIPE</t>
  </si>
  <si>
    <t xml:space="preserve">SUMBER </t>
  </si>
  <si>
    <t>OUTPUT</t>
  </si>
  <si>
    <t>PIHAK K3</t>
  </si>
  <si>
    <t>NILAI</t>
  </si>
  <si>
    <t>KETERANGAN</t>
  </si>
  <si>
    <t>Pemantauan Kejadian Penyakit Menular Menggunakan Metode Digital Epidemiology untuk Mendukung Program One Health</t>
  </si>
  <si>
    <t>Dana Eksternal</t>
  </si>
  <si>
    <t>Dalam Negeri</t>
  </si>
  <si>
    <t>RIIM</t>
  </si>
  <si>
    <t>In Cash</t>
  </si>
  <si>
    <t>DEPUTI BIDANG FASILITASI RISET DAN INOVASI
BADAN RISET DAN INOVASI NASIONAL</t>
  </si>
  <si>
    <t>RIIM gel 4</t>
  </si>
  <si>
    <t>KEPUTUSAN DEPUTI BIDANG FASILITASI RISET DAN INOVASI
BADAN RISET DAN INOVASI NASIONAL NOMOR 37/II.7/HK/2023</t>
  </si>
  <si>
    <t>Dana Eksternal &amp; Kerjasama</t>
  </si>
  <si>
    <t xml:space="preserve">Pengembangan Metode End-ToEnd Provenance Artefak Riset Karakterisasi Kacang Tunggak (Vigna unguiculata L.Walp) dalam Mengungkap Sumber Daya Genetiknya </t>
  </si>
  <si>
    <r>
      <rPr>
        <rFont val="Calibri"/>
        <color theme="1"/>
        <sz val="10.0"/>
      </rPr>
      <t xml:space="preserve">Dr. Arya Adhyaksa Waskita, </t>
    </r>
    <r>
      <rPr>
        <rFont val="Calibri"/>
        <color rgb="FF1155CC"/>
        <sz val="10.0"/>
        <u/>
      </rPr>
      <t>M.Si</t>
    </r>
  </si>
  <si>
    <t>Pengembangan Sistem Identifikasi Fitoplankton Perairan Indonesia dengan Menggunakan Computer Vision</t>
  </si>
  <si>
    <t>DEPUTI BIDANG FASILITASI RISET DAN INOVASI
BADAN RISET DAN INOVASI NASIONAL</t>
  </si>
  <si>
    <t>RIIM Gel 3 Tahun ke-2</t>
  </si>
  <si>
    <t>KEPUTUSAN DEPUTI BIDANG FASILITASI RISET DAN INOVASI
BADAN RISET DAN INOVASI NASIONAL
NOMOR 12/II.7/HK/2023</t>
  </si>
  <si>
    <t>PKR Graf</t>
  </si>
  <si>
    <t>In Kind</t>
  </si>
  <si>
    <t>judul:PKR Teori Graf dan
Kombinatorika untuk
Membangun Bangsa</t>
  </si>
  <si>
    <t>KEPUTUSAN KUASA PENGGUNA ANGGARAN SATUAN KERJA
DEPUTI BIDANG FASILITASI RISET DAN INOVASI
BADAN RISET DAN INOVASI NASIONAL
NOMOR B-1723/II.7/HK.01.00/4/2024</t>
  </si>
  <si>
    <t>tidak dapat ditarik menjadi dana ext OR, karena pIC ITB</t>
  </si>
  <si>
    <t>Evolutionary Path of Rural Transformation (SK no 67 judul Pemetaan Komprehensif Dan Jalur Evolusi “Transformasi Pedesaan”: Analisis Scientometrik Pada Scopus Menggunakan R Studio, Vosviewer, Dan Citespace)</t>
  </si>
  <si>
    <t>1. Arief Rahman ; 2. Galuh Syahbana Indraprahasta; 3. Vely Brian Rosandi; 4. Andi Yoga Saputra</t>
  </si>
  <si>
    <t>Mitra/Universitas</t>
  </si>
  <si>
    <t>Pusat Riset Kependudukan BRIN</t>
  </si>
  <si>
    <t>Penerimaan Dana Penelitian Dosen Muda Tahun Anggaran 2024</t>
  </si>
  <si>
    <t>tidak dapat ditarik menjadi dana ext OR, karena pIC non PR SDI BRIN</t>
  </si>
  <si>
    <t>Strategi Metamodel: Penguatan Metadata Data Ketenagakerjaan untuk Pencapaian Tujuan Pembangunan Berkelanjutan di Indonesia</t>
  </si>
  <si>
    <t>Dana Indra Sensuse, Alivia Yulfitri, Erisvaha Kiki Purwaningsih, Anton Satria Prabuwono</t>
  </si>
  <si>
    <t>Hibah PUTI Universitas Indonesia</t>
  </si>
  <si>
    <t>mohon melengkapi evidence (SK atau dokumen serupa)</t>
  </si>
  <si>
    <t>Smart Partnership Through the Utilization of AI Chatbot as a Catalyst for 
Collaboration in the Future of the Nusantara Capital City</t>
  </si>
  <si>
    <t>Dana Indra Sensuse, Eko Yon Handri, Prasetyo Adi Wibowo Putra</t>
  </si>
  <si>
    <t>Pengembangan Platform Smart Tourism pada Destinasi Wisata Super Prioritas Berbasis Artificial Intelligence</t>
  </si>
  <si>
    <t>Dana Eksternal&amp;Kerjasama</t>
  </si>
  <si>
    <t>Politeknik Negeri Jember dan PT. Global Data Inspirasi</t>
  </si>
  <si>
    <t>Pendanaan Matching Fund Kedaireka 2024 - Kemendikbud Ristek</t>
  </si>
  <si>
    <t>PKS kerjasama PRSDI dan Politeknik Jember masih dalam tahap drafting. Dana in cash diterima dan dikelola oleh Universitas</t>
  </si>
  <si>
    <t>Metaspeak: Platform Pembelajaran Multi-Bahasa Mandiri Berbasis Metaverse untuk Mengatasi Kecemasan Berbahasa</t>
  </si>
  <si>
    <t>Rp. 141,000,000</t>
  </si>
  <si>
    <t>PROGRAM RISET DAN INOVASI UNTUK INDONESIA MAJU
GELOMBANG IV TAHUN 2023</t>
  </si>
  <si>
    <t>PKS dalam proses</t>
  </si>
  <si>
    <t>PKS kerjasama PRSDI dan Telkom University sudah selesai. Dana in cash diterima dan dikelola oleh Universitas
mohon melengkapi evidence (setelah PKS dittd)</t>
  </si>
  <si>
    <t>Prediksi Perubahan Lingkungan Akibat Krisis Iklim Untuk Penentuan Jenis Tanaman Pangan dengan Big-Data Analytics</t>
  </si>
  <si>
    <t>Elly Antika dan Tim Politeknik Jember</t>
  </si>
  <si>
    <t>PKS kerjasama PRSDI dan Politeknik Jember masih dalam tahap drafting. Dana in cash diterima dan dikelola oleh Universitas. mohon melengkapi evidence (setelah PKS dittd)</t>
  </si>
  <si>
    <t xml:space="preserve">Performance Analysis of EfficientNet Model for Classification of Growth Phases of Rice  Plants on Sentinel-1 Radar Image Data. </t>
  </si>
  <si>
    <t>- Dr. Dede Dirgahayu Domiri (PR Geoinformatika)
- Prof. Alhadi Bustamam (Departemen Matematika FMIPA UI)</t>
  </si>
  <si>
    <t>Hibah</t>
  </si>
  <si>
    <t>Universitas Indonesia</t>
  </si>
  <si>
    <t>Hibah PUTI Q2 Universitas Indonesia</t>
  </si>
  <si>
    <t>Pengembangan Metode Generalized Mixed Effect Support Vector Machine (GMESVM) untuk pemodelan fase pertumbuhan padi berbasis data citra sentinel-1</t>
  </si>
  <si>
    <t>- Prof. Asep Saefuddin (IPB)
- Dr. I Made Sumertaja (IPB)
- Dr. Agus Mohamad Soleh (IPB)
- Dr. Dede Dirgahayu Domiri</t>
  </si>
  <si>
    <t>Institut Pertanian Bogor</t>
  </si>
  <si>
    <t>Hibah Penelitian Disertasi Doktor 2024</t>
  </si>
  <si>
    <t>Spatiotemporal analysis of surface water using machine learning methods with remote sensing data: A case study of West Java, Indonesia (2010 - 2020)</t>
  </si>
  <si>
    <t>Luar Negeri</t>
  </si>
  <si>
    <t>Kurita Water and Environment Foundation</t>
  </si>
  <si>
    <t>Hibah Kurita Overseas Research Grant 2023</t>
  </si>
  <si>
    <r>
      <rPr>
        <rFont val="Calibri"/>
        <color theme="1"/>
        <sz val="11.0"/>
      </rPr>
      <t xml:space="preserve">mohon melengkapi evidence (SK atau dokumen serupa). [Lia] Dokumen SK sudah diunggah. Tim Monev harap periksa agar bisa diklaim capaian PR 
LINK: </t>
    </r>
    <r>
      <rPr>
        <rFont val="Calibri"/>
        <color rgb="FF1155CC"/>
        <sz val="11.0"/>
        <u/>
      </rPr>
      <t>https://drive.google.com/file/d/1NP7ai1VXe33CIVGW4JGzE8QjOwBrwADr/view?usp=sharing</t>
    </r>
  </si>
  <si>
    <t>Kontinuitas Produksi Sidat Sebagai Ikan Migrasi di Danau dan Sungai Poso Sulawesi Tengah Untuk Menunjang Ketahanan Pangan</t>
  </si>
  <si>
    <t>Angga Dwinovantyo, Angga Dwinovantyo, Triyanto Triyanto, Endra 
Triwisesa, Octavianto Samir, Gadis Sri Haryani, Hendro Wibowo, Hidayat 
Hidayat, Fachmijany Sulawesty, Eva Nafisyah, Lukman Lukman, Fauzan Ali</t>
  </si>
  <si>
    <t>Pusat Riset Limnologi dan Sumber Daya Air</t>
  </si>
  <si>
    <t>LPDP RISPRO</t>
  </si>
  <si>
    <t>PRJ-54/LPDP/2020</t>
  </si>
  <si>
    <t>masa berlaku dokumen 2022-2023 (kegiatan s.d. Agustus 2024)</t>
  </si>
  <si>
    <r>
      <rPr>
        <rFont val="Arial"/>
        <color rgb="FF000000"/>
        <sz val="9.0"/>
      </rPr>
      <t>Web-based NNFL Features Development (</t>
    </r>
    <r>
      <rPr>
        <rFont val="Arial"/>
        <i/>
        <color rgb="FF000000"/>
        <sz val="9.0"/>
      </rPr>
      <t>Data Contextualization, Knowledge Inference, and Intelligent Search Engine</t>
    </r>
    <r>
      <rPr>
        <rFont val="Arial"/>
        <color rgb="FF000000"/>
        <sz val="9.0"/>
      </rPr>
      <t>)</t>
    </r>
  </si>
  <si>
    <t>Zaenal Akbar, Nizar Kamil Perwira</t>
  </si>
  <si>
    <t>Pusat Riset Teknologi Daur Bahan Bakar Nuklir dan Limbah Radioaktif</t>
  </si>
  <si>
    <t>Hibah IAEA</t>
  </si>
  <si>
    <r>
      <rPr>
        <rFont val="Calibri"/>
        <color theme="1"/>
        <sz val="11.0"/>
      </rPr>
      <t xml:space="preserve">masa berlaku memasuki tahun ke 2 (dapat dilihat pada halaman 4 proposal) tetapi keterlibatan sdm PRSDI belum tampak. Mohon ada penambahan evidence berupa SK atau Nota Dinas anggota tim yang terlibat
2024-07-08: sudah ditambahkan SK Tim </t>
    </r>
    <r>
      <rPr>
        <rFont val="Calibri"/>
        <color rgb="FF1155CC"/>
        <sz val="11.0"/>
        <u/>
      </rPr>
      <t>https://drive.google.com/file/d/192bTP6yRvFWvjeB34lTfShbA1jfGnrTs/view?usp=drive_link</t>
    </r>
  </si>
  <si>
    <t>Pembangunan Sistem Big Data Bahasa dan Folklor Lisan Perbatasan Kalimantan Barat, Indonesia - Sarawak, Malaysia dalam Kerangka Pelestarian Budaya Indonesia</t>
  </si>
  <si>
    <t>Dedy Ari Asfar, Irmayani, Yusup Irawan, Herpanus, Muhammad Pramulya, Liliana Slow</t>
  </si>
  <si>
    <t>Pusat Riset Bahasa, Sastra, dan Komunitas BRIN, Universitas Tanjungpura Pontianak, STKIP Sintang, STKIP Melawi</t>
  </si>
  <si>
    <t>RIIM Gel. 4</t>
  </si>
  <si>
    <t>37/II.7/HK/2023</t>
  </si>
  <si>
    <t>PIC OREI</t>
  </si>
  <si>
    <t>Pengembangan Sistem Informasi Perencanaan Pengelolaan DAS Cerdas di DAS Citarum</t>
  </si>
  <si>
    <t>Irfan Budi Pramono, Budi Heru Santosa</t>
  </si>
  <si>
    <t>hanya level PR. tidak dapat ditarik menjadi dana ext OR, karena pIC non OREI</t>
  </si>
  <si>
    <t>Pemetaan Keragaman Plasma Nutfah Cabai (Capsicum spp) Adaptif Cekaman Kekeringan Dalam Mendukung Pemuliaannya</t>
  </si>
  <si>
    <t>RIIM Gel. 3</t>
  </si>
  <si>
    <t>12/II.7/HK/2023</t>
  </si>
  <si>
    <t>Belum terlihat SDM PRSDI nya. Mohon dilengkapi dengan SK/proposal yang menunjukkan SDM yang terlibat. hanya level PR. tidak dapat ditarik menjadi dana ext OR, karena pIC non OREI</t>
  </si>
  <si>
    <t>Ketertelusuran Data Sosial Ekonomi dalam Perikanan Rajungan untuk Mendukung Peningkatan Daya Saing Berbasis Ekonomi Biru</t>
  </si>
  <si>
    <t>Penenelitian Perangkat Spatial Decision Support System (SDSS) Site Selection Rumah Tahan Gempa, Tahan Api, Cepat Bangun dan Murah (SDSS Site-RTM)</t>
  </si>
  <si>
    <t>Prof. Dr. Dewayany</t>
  </si>
  <si>
    <t>BNPB</t>
  </si>
  <si>
    <t>Rp. 204.000.000</t>
  </si>
  <si>
    <t>RIIM Gel. 2</t>
  </si>
  <si>
    <t>82/II.7/HK/2022</t>
  </si>
  <si>
    <t>PKS Lisensi INTENS</t>
  </si>
  <si>
    <t xml:space="preserve">Rizqi </t>
  </si>
  <si>
    <t>Kerjasama</t>
  </si>
  <si>
    <t>PT INTENS</t>
  </si>
  <si>
    <t>B-972/II.8/MR.01.01/3/2024</t>
  </si>
  <si>
    <t>https://drive.google.com/file/d/1-ov_KdrlrWdZvJq_D7ymObQNTEugv90z/view?usp=sharing</t>
  </si>
  <si>
    <t xml:space="preserve">Berupa perjanjian Lisensi. </t>
  </si>
  <si>
    <t>PKS Lisensi Rekhatama</t>
  </si>
  <si>
    <r>
      <rPr>
        <rFont val="Calibri"/>
        <color theme="1"/>
        <sz val="9.0"/>
      </rPr>
      <t xml:space="preserve">Friyogi Resvy Mahda, </t>
    </r>
    <r>
      <rPr>
        <rFont val="Calibri"/>
        <color rgb="FF1155CC"/>
        <sz val="9.0"/>
        <u/>
      </rPr>
      <t>S.Si</t>
    </r>
  </si>
  <si>
    <t xml:space="preserve">Triana </t>
  </si>
  <si>
    <t>PT Rhekatama</t>
  </si>
  <si>
    <t>B-2646/II.5/SI.02/5/2024</t>
  </si>
  <si>
    <t>Berupa perjanjian Lisensi. masih dalam proses pengecekan data nama inventor yang terlibat &gt;&gt; Nama sivitas PRSDI ada di halaman 5</t>
  </si>
  <si>
    <t>PKS Asset Game UNPAS</t>
  </si>
  <si>
    <t>Fakultas Ilmu Seni dan Sastra, UNPAS</t>
  </si>
  <si>
    <t>https://drive.google.com/file/d/15vetkZLxLb4v40TWFMPKl6eGZWGbt4gt/view?usp=sharing</t>
  </si>
  <si>
    <t>PKS Mengenai Perancangan Asset Game Untuk Memperkenalkan Kebudayaan Papua dan Maluku</t>
  </si>
  <si>
    <t>PKS Asset Game UPI</t>
  </si>
  <si>
    <t>UPI Cibiru</t>
  </si>
  <si>
    <t>https://drive.google.com/file/d/1SrmbjpjDmkcEIXdY9ac88EcrssWi2U6W/view?usp=sharing</t>
  </si>
  <si>
    <t>PKS mengenai penelitian dan pengembangan teknologi Imersif</t>
  </si>
  <si>
    <t>PKS Asset Game DKV Tel-U</t>
  </si>
  <si>
    <t>DKV  Tel U</t>
  </si>
  <si>
    <t>https://drive.google.com/file/d/1EEFLk2yb8h-k1uOdj7aTJBmN83Ic85Rj/view?usp=sharing</t>
  </si>
  <si>
    <t>PKS Meta Speak Tel-U</t>
  </si>
  <si>
    <t>LPPM Tel U</t>
  </si>
  <si>
    <t>https://drive.google.com/file/d/1zj6pazg4VAOViO0wUiNq9ZcKrU25Z_3c/view?usp=sharing</t>
  </si>
  <si>
    <t>PKS Mengenai MetaSpeak: Platform Pembelajaran Multi-Bahasa Mandiri Berbasis Metaverse Untuk Mengatasi Kecemasan Berbahasa</t>
  </si>
  <si>
    <t>PKS LMS Fakultas Sains dan Teknologi - Universitas Terbuka</t>
  </si>
  <si>
    <t>Dr. Dewi Juliah Ratnaningsih (Wakil Dekan III FST-UT) dan perwakilan tiap prodi FST-UT</t>
  </si>
  <si>
    <r>
      <rPr>
        <rFont val="Calibri"/>
        <color theme="1"/>
        <sz val="9.0"/>
      </rPr>
      <t xml:space="preserve">- Finalisasi draft akhir di BHKS
- Pendanaan </t>
    </r>
    <r>
      <rPr>
        <rFont val="Calibri"/>
        <i/>
        <color theme="1"/>
        <sz val="9.0"/>
      </rPr>
      <t>co-sharing</t>
    </r>
  </si>
  <si>
    <t>PKS mengenai kegiatan penelitian dan pengembangan teknologi digital data analitik secara inovatif guna Meningkatkan Kualitas Pendidikan dan Pengalaman Belajar Peserta Didik pada Platform Pembelajaran Daring (LMS)</t>
  </si>
  <si>
    <t>PKS NLP Handayani</t>
  </si>
  <si>
    <t>NKS Belitung SPBE</t>
  </si>
  <si>
    <t>NKS Belitung Biodiversitas Laut</t>
  </si>
  <si>
    <t>PKS Datasaurs</t>
  </si>
  <si>
    <t>Workshop Tata Kelola Data (data governance) dan Pengembangan LLM</t>
  </si>
  <si>
    <t>PKS NLP Univ. Hasanuddin</t>
  </si>
  <si>
    <t>Decision Support System Video sebagai Domain AI untuk Evaluasi dalam Penguatan Hasil Belajar Mandiri</t>
  </si>
  <si>
    <t>Dr. Siti Julaeha (Universitas Terbuka)
Dr. Henry Praherdiono (Universitas Negeri Malang)
Dr. Citra Kurniawan, S.T., M.M. (Universitas Negeri Malang)
Dr. Alim Sumarno, M.Pd (Universitas Negeri Surabaya)
Aryo Pinandito, S.T., M.MT., Ph.D. (Universitas Brawijaya)
Dr. Slamet Arifin, M. Pd. (Universitas Negeri Malang)
Dr. Widya Rizky Pratiwi, S.Pd., M.M. (Universitas Terbuka)
Afriani, S.S., M.Hum. (Universitas Terbuka)
Dewi Elfriwaty Br Simamora, S.S.T.Ars. (Universitas Terbuka)</t>
  </si>
  <si>
    <t>Pendanaan dari Rencana Kerja dan Anggaran Tahunan Universitas Terbuka (RKAT-UT) Tahun Anggaran 2024</t>
  </si>
  <si>
    <t>B/569/UN31.LPPM/PT.01.03/2024</t>
  </si>
  <si>
    <t>Penelitian Kolaborasi ICE Institute dengan anggota konsorsium melalui dana LPPM Universitas Terbuka</t>
  </si>
  <si>
    <t>PKS UPI Kampus Cibiru</t>
  </si>
  <si>
    <t>Kegiatan Penelitian dan Pengembangan Teknologi Imersif dan Penyediaan Asset Aplikasi 3D</t>
  </si>
  <si>
    <t>117/V/KS/06/2024</t>
  </si>
  <si>
    <t>PEROLEHAN DANA EKSTENAL (CLAIMED)</t>
  </si>
  <si>
    <t>TARGET DANA EKSTENAL</t>
  </si>
  <si>
    <t>SELISIH (PEROLEHAN - TARGET)</t>
  </si>
  <si>
    <t>KERJASAMA (CLAIMED)</t>
  </si>
  <si>
    <t>TARGET KERJASAMA</t>
  </si>
  <si>
    <t>POSTDOC/VISITING RESEARCH</t>
  </si>
  <si>
    <t>PUSAT RISET SAINS DATA INFORMASI</t>
  </si>
  <si>
    <t>NAMA SDM PRSDI</t>
  </si>
  <si>
    <t>NON SDM PRSDI</t>
  </si>
  <si>
    <t>VOLUME</t>
  </si>
  <si>
    <t>SATUAN</t>
  </si>
  <si>
    <t>DANA EKSTERNAL</t>
  </si>
  <si>
    <t>UPLOAD DAKUNG</t>
  </si>
  <si>
    <t>direct link</t>
  </si>
  <si>
    <t>Rifani Bhakti Natari</t>
  </si>
  <si>
    <t>POSTDOCTORAL</t>
  </si>
  <si>
    <t>PUBLIKASI INTERNASIONAL;</t>
  </si>
  <si>
    <t>SDMI</t>
  </si>
  <si>
    <t>SDM Postdoc/VR</t>
  </si>
  <si>
    <t>https://drive.google.com/file/d/1LpM8nmhGKV1cgfAxtnFkU6nvvwGJWDMC/view?usp=sharing</t>
  </si>
  <si>
    <r>
      <rPr>
        <rFont val="Courier New"/>
        <color theme="1"/>
      </rPr>
      <t xml:space="preserve">PIC Kelris: Dr. Purnomo Husnul Khotimah, M.T 
Laporan: </t>
    </r>
    <r>
      <rPr>
        <rFont val="Courier New"/>
        <color rgb="FF1155CC"/>
        <u/>
      </rPr>
      <t>https://drive.google.com/file/d/1iC5uZ03RQ_x0jmMdr9ezun8OchWgc2pM/view?usp=sharing</t>
    </r>
  </si>
  <si>
    <t>VISITING RESEARCH</t>
  </si>
  <si>
    <t>https://drive.google.com/file/d/1ypZ4YlPvBD-wq_bVaEQWxdMK9a2fgVw3/view?usp=sharing</t>
  </si>
  <si>
    <t>NON SDMI</t>
  </si>
  <si>
    <t>Prof Nazlena</t>
  </si>
  <si>
    <t>https://drive.google.com/file/d/10bhPsaEp0999xknFNKKyFznpITiMOrv1/view?usp=sharing</t>
  </si>
  <si>
    <t>Akan mengajukan VISA VR 
PIC Kelris: M. Yudhi Rezaldi, Ph.D</t>
  </si>
  <si>
    <t>William Tjhi</t>
  </si>
  <si>
    <t>Sedang mengusahakan workshop mengenai Tata Kelola Data (data governance) dan Pengembangan LLM, bekerja sama dengan Direktorat PKRTI, DKRI</t>
  </si>
  <si>
    <t>Prof Usagawa</t>
  </si>
  <si>
    <t>SDM IPTEK</t>
  </si>
  <si>
    <t>NAMA SDM IPTEK</t>
  </si>
  <si>
    <t>JENJANG PENDIDIKAN DITEMPUH</t>
  </si>
  <si>
    <t>NAMA UNIVERSITAS</t>
  </si>
  <si>
    <t>LINK DOKUMEN PENDUKUNG</t>
  </si>
  <si>
    <t>tahun masuk</t>
  </si>
  <si>
    <t>SDM Iptek</t>
  </si>
  <si>
    <t>S3</t>
  </si>
  <si>
    <t>Register</t>
  </si>
  <si>
    <t>Mulai masuk Semester ganjil 2024/2025</t>
  </si>
  <si>
    <t>https://drive.google.com/file/d/1Ul4BHj6_c6q-5z-X8hXpxJeu_3hT8Urr/view?usp=sharing</t>
  </si>
  <si>
    <t>pendanaan??? apakah pendanaan mandiri atau sudah ada sumber pendanaan lainnya. Mohon bukti terkait penerimaan pembiayaan</t>
  </si>
  <si>
    <t>Pra Register</t>
  </si>
  <si>
    <t>Sedang mengikuti seleksi Beasiswa LPDP Gelombang 2</t>
  </si>
  <si>
    <t>University of Michigan</t>
  </si>
  <si>
    <t>Lulus seleksi beasiswa LPDP tahap 1 2024. Selanjutnya proses mencari kampus</t>
  </si>
  <si>
    <t>Sedang proses mencari kampus</t>
  </si>
  <si>
    <t>S2</t>
  </si>
  <si>
    <t>Institut Teknologi Bandung</t>
  </si>
  <si>
    <t>Tugas Belajar DBR</t>
  </si>
  <si>
    <t>Mulai tubel September</t>
  </si>
  <si>
    <t>https://drive.google.com/file/d/1qi-SPDQN-KiQg0TK7vUw6kVX0PzWj8mD/view?usp=sharing</t>
  </si>
  <si>
    <t>masuk th 2023 tapi mengajukan pemunduran sehingga baru masuk tahun 2024</t>
  </si>
  <si>
    <t>Menempuh Semester 2</t>
  </si>
  <si>
    <t>Akan mengikuti seleksi Beasiswa LPDP Gelombang 2</t>
  </si>
  <si>
    <t>Proses pencarian LOA</t>
  </si>
  <si>
    <t>Akan mengikuti tes penerimaan mahasiswa baru Pascasarjana UI (SIMAK) di Bulan September 2024. Lulus beasiswa LPDP Tahap 1 Tahun 2024</t>
  </si>
  <si>
    <t>Monash University - Indonesia</t>
  </si>
  <si>
    <t>LoA sedang dalam proses</t>
  </si>
  <si>
    <t>Monash University - Indonesia baru masuk dalam list pilihan Perguruan Tinggi yang bisa memanfaatkan beasiswa LPDP per Juli 2024.</t>
  </si>
  <si>
    <t>Lulus beasiswa LPDP Tahap 1 Tahun 2024, mulai mengurus untuk administrasi penerimaan beasiswa, registrasi ulang kampus, dan berkas tugas belajar</t>
  </si>
  <si>
    <t>https://drive.google.com/drive/folders/1_19XQwsD0TcJxfXX6TKL29g9oaEu_SlI?usp=drive_link</t>
  </si>
  <si>
    <t>https://drive.google.com/file/d/1Jw9rY0czWV-FbA-W4yk64BVTREwP8rgH/view?usp=sharing</t>
  </si>
  <si>
    <t>Semester yang sedang aktif dalam masa Ujian Akhir Semester jadi belum dapat dilaporkan nilai yang diperoleh</t>
  </si>
  <si>
    <t>Menempuh semester 2</t>
  </si>
  <si>
    <t>https://drive.google.com/file/d/1EHGQXbCDdIUTaC1jxmN_V3DEsMSIzwCx/view?usp=sharing</t>
  </si>
  <si>
    <t>Universitas Diponegoro</t>
  </si>
  <si>
    <t>Komunikasi dengan calon promotor tentang topik riset</t>
  </si>
  <si>
    <t>Universitas Gadjah Mada</t>
  </si>
  <si>
    <t>Mulai Tugas Belajar bulan Agustus</t>
  </si>
  <si>
    <t>Penyusunan proposal riset</t>
  </si>
  <si>
    <t>Menunggu pengumuman beasiswa dan penyusunan proposal riset</t>
  </si>
  <si>
    <t>Institut Teknologi Sepuluh Nopember</t>
  </si>
  <si>
    <t>Menunggu pengumuman beasiswa LPDP dan dalam proses menyiapkan pendaftaran universitas</t>
  </si>
  <si>
    <t>Mulai Tugas Belajar bulan September 2024</t>
  </si>
  <si>
    <r>
      <rPr>
        <rFont val="Calibri"/>
        <color theme="1"/>
        <sz val="11.0"/>
      </rPr>
      <t xml:space="preserve">Harnum Annisa Prafitia, </t>
    </r>
    <r>
      <rPr>
        <rFont val="Calibri"/>
        <color rgb="FF1155CC"/>
        <sz val="11.0"/>
        <u/>
      </rPr>
      <t>S.Si</t>
    </r>
  </si>
  <si>
    <t>BINUS</t>
  </si>
  <si>
    <t>ongoing S2</t>
  </si>
  <si>
    <t>Tubel-Beasiswa Kominfo- ongoing semester 1 periode 2</t>
  </si>
  <si>
    <t>IPB</t>
  </si>
  <si>
    <t>ongoing S3</t>
  </si>
  <si>
    <t>Tugas Belajar Mandiri</t>
  </si>
  <si>
    <t>DOI (Wajib Jika status Published)</t>
  </si>
  <si>
    <t>PN</t>
  </si>
  <si>
    <r>
      <rPr>
        <rFont val="Calibri"/>
        <color rgb="FF0000FF"/>
        <sz val="9.0"/>
      </rPr>
      <t xml:space="preserve"> </t>
    </r>
    <r>
      <rPr>
        <rFont val="Calibri"/>
        <color rgb="FF1155CC"/>
        <sz val="9.0"/>
        <u/>
      </rPr>
      <t>https://doi.org/10.25126/jtiik.20241127404</t>
    </r>
  </si>
  <si>
    <t>SITASI</t>
  </si>
  <si>
    <t>NAMA</t>
  </si>
  <si>
    <t>LINK SCOPUS</t>
  </si>
  <si>
    <t>JABATAN FUNGSIONAL</t>
  </si>
  <si>
    <t>H INDEX</t>
  </si>
  <si>
    <t>JUMLAH DOK PUBLISHED SD. TAHUN 2023</t>
  </si>
  <si>
    <t>SITASI SD. THN 2024</t>
  </si>
  <si>
    <t>Januari</t>
  </si>
  <si>
    <t>Agustus</t>
  </si>
  <si>
    <t>Triwulan III</t>
  </si>
  <si>
    <t>Oktober</t>
  </si>
  <si>
    <t>November</t>
  </si>
  <si>
    <t>Triwulan IV</t>
  </si>
  <si>
    <t>TOTAL</t>
  </si>
  <si>
    <t>DOK YANG DI PUBLISHED (PARSIAL)</t>
  </si>
  <si>
    <t>SITASI (PARSIAL)</t>
  </si>
  <si>
    <t>DOK PUBLISHED SD. TAHUN 2024</t>
  </si>
  <si>
    <t>DOK YANG DI PUBLISHED 2024(KUM)</t>
  </si>
  <si>
    <t>SITASI 2024 (KUM)</t>
  </si>
  <si>
    <t>https://www.scopus.com/authid/detail.uri?authorId=35424564900</t>
  </si>
  <si>
    <t>Kepala PR Sains Data dan Informasi</t>
  </si>
  <si>
    <t>Pembina - IV/a</t>
  </si>
  <si>
    <t>https://www.scopus.com/authid/detail.uri?authorId=54790887100</t>
  </si>
  <si>
    <t>peneliti ahli madya</t>
  </si>
  <si>
    <t>Pembina Utama - IV/e</t>
  </si>
  <si>
    <t>https://www.scopus.com/authid/detail.uri?authorId=56516977800</t>
  </si>
  <si>
    <t>Penata Tingkat I - III/d</t>
  </si>
  <si>
    <t>https://www.scopus.com/authid/detail.uri?authorId=57201685035</t>
  </si>
  <si>
    <t>Analis Data Ilmiah Ahli Madya</t>
  </si>
  <si>
    <t>Pembina Tingkat I - IV/b</t>
  </si>
  <si>
    <t>https://www.scopus.com/authid/detail.uri?authorId=54791372300</t>
  </si>
  <si>
    <t>peneliti ahli muda</t>
  </si>
  <si>
    <t>Penata Muda Tingkat I - III/b</t>
  </si>
  <si>
    <t>https://www.scopus.com/authid/detail.uri?authorId=57193707432</t>
  </si>
  <si>
    <t>https://www.scopus.com/authid/detail.uri?authorId=57194008191</t>
  </si>
  <si>
    <t>Analis Hasil Penelitian</t>
  </si>
  <si>
    <t>https://www.scopus.com/authid/detail.uri?authorId=54791173900</t>
  </si>
  <si>
    <t>https://www.scopus.com/authid/detail.uri?authorId=57202836985</t>
  </si>
  <si>
    <t>peneliti ahli pertama</t>
  </si>
  <si>
    <t>https://www.scopus.com/authid/detail.uri?authorId=57216459699</t>
  </si>
  <si>
    <t>https://www.scopus.com/authid/detail.uri?authorId=57194604391</t>
  </si>
  <si>
    <t>perekayasa ahli muda</t>
  </si>
  <si>
    <t>https://www.scopus.com/authid/detail.uri?authorId=58564688600</t>
  </si>
  <si>
    <t>perekayasa ahli pertama</t>
  </si>
  <si>
    <t>Penata - III/c</t>
  </si>
  <si>
    <t>https://www.scopus.com/authid/detail.uri?authorId=56741484700</t>
  </si>
  <si>
    <t>https://www.scopus.com/authid/detail.uri?authorId=57204889974</t>
  </si>
  <si>
    <t>https://www.scopus.com/authid/detail.uri?authorId=56669695700</t>
  </si>
  <si>
    <t>https://www.scopus.com/authid/detail.uri?authorId=57196116098</t>
  </si>
  <si>
    <t>https://www.scopus.com/authid/detail.uri?authorId=57207760083</t>
  </si>
  <si>
    <t>https://www.scopus.com/authid/detail.uri?authorId=57201134787</t>
  </si>
  <si>
    <t>https://www.scopus.com/authid/detail.uri?authorId=57261462900</t>
  </si>
  <si>
    <t>https://www.scopus.com/authid/detail.uri?authorId=56986274000</t>
  </si>
  <si>
    <t>https://www.scopus.com/authid/detail.uri?authorId=57189242768</t>
  </si>
  <si>
    <t>https://www.scopus.com/authid/detail.uri?authorId=57215532751</t>
  </si>
  <si>
    <t>https://www.scopus.com/authid/detail.uri?authorId=57193448158</t>
  </si>
  <si>
    <t>Dr. Arya Adhyaksa Waskita, M.Si</t>
  </si>
  <si>
    <t>https://www.scopus.com/authid/detail.uri?authorId=54797353100</t>
  </si>
  <si>
    <t>pranata komputer ahli muda</t>
  </si>
  <si>
    <t>https://www.scopus.com/authid/detail.uri?authorId=57221524569</t>
  </si>
  <si>
    <t>https://www.scopus.com/authid/detail.uri?authorId=57215292485</t>
  </si>
  <si>
    <t>https://www.scopus.com/authid/detail.uri?authorId=57211254409</t>
  </si>
  <si>
    <t>perekayasa ahli madya</t>
  </si>
  <si>
    <t>https://www.scopus.com/authid/detail.uri?authorId=57216335857</t>
  </si>
  <si>
    <t>https://www.scopus.com/authid/detail.uri?authorId=57197798404</t>
  </si>
  <si>
    <t>https://www.scopus.com/authid/detail.uri?authorId=57192639461</t>
  </si>
  <si>
    <t>https://www.scopus.com/authid/detail.uri?authorId=53264599900</t>
  </si>
  <si>
    <t>https://www.scopus.com/authid/detail.uri?authorId=57197837216</t>
  </si>
  <si>
    <t>https://www.scopus.com/authid/detail.uri?authorId=56410803300</t>
  </si>
  <si>
    <t>https://www.scopus.com/authid/detail.uri?authorId=57469675500</t>
  </si>
  <si>
    <t>https://www.scopus.com/authid/detail.uri?authorId=58127234400</t>
  </si>
  <si>
    <t>https://www.scopus.com/authid/detail.uri?authorId=15925429100</t>
  </si>
  <si>
    <t>peneliti ahli utama</t>
  </si>
  <si>
    <t>https://www.scopus.com/authid/detail.uri?authorId=36816663700</t>
  </si>
  <si>
    <t>https://www.scopus.com/authid/detail.uri?authorId=57205125029</t>
  </si>
  <si>
    <t>perekayasa ahli utama</t>
  </si>
  <si>
    <t>https://www.scopus.com/authid/detail.uri?authorId=57771609600</t>
  </si>
  <si>
    <t>https://www.scopus.com/authid/detail.uri?authorId=57221594540</t>
  </si>
  <si>
    <t>https://www.scopus.com/authid/detail.uri?authorId=57956375200</t>
  </si>
  <si>
    <t>https://www.scopus.com/authid/detail.uri?authorId=57208013659</t>
  </si>
  <si>
    <t>Ir. Tri Sampurno, M.Sc</t>
  </si>
  <si>
    <t>https://www.scopus.com/authid/detail.uri?authorId=58575328800</t>
  </si>
  <si>
    <t>Siti Shaleha, S.ST</t>
  </si>
  <si>
    <t>https://www.scopus.com/authid/detail.uri?authorId=57431400300</t>
  </si>
  <si>
    <t>Pengembang Teknologi Nuklir Ahli Pertama</t>
  </si>
  <si>
    <t>Dr. Dipl.(FH) Ing Asril, M.Sc</t>
  </si>
  <si>
    <t>https://www.scopus.com/authid/detail.uri?authorId=36930410300</t>
  </si>
  <si>
    <t>https://www.scopus.com/authid/detail.uri?authorId=57189999642</t>
  </si>
  <si>
    <t>https://www.scopus.com/authid/detail.uri?authorId=57190007332</t>
  </si>
  <si>
    <t>https://www.scopus.com/authid/detail.uri?authorId=57189998792</t>
  </si>
  <si>
    <t>-</t>
  </si>
  <si>
    <t>https://www.scopus.com/results/authorNamesList.uri?name=name&amp;st1=saifullah&amp;st2=zain&amp;origin=searchauthorlookup</t>
  </si>
  <si>
    <t>https://www.scopus.com/results/authorNamesList.uri?name=name&amp;st1=riski&amp;st2=miranti+jatnika&amp;origin=searchauthorlookup</t>
  </si>
  <si>
    <t>https://www.scopus.com/results/authorNamesList.uri?name=name&amp;st1=untariyati&amp;st2=nimas+ayu&amp;origin=searchauthorlookup</t>
  </si>
  <si>
    <t>Harnum Annisa Prafitia, S.Si</t>
  </si>
  <si>
    <t>https://www.scopus.com/authid/detail.uri?authorId=57216355031</t>
  </si>
  <si>
    <t>Friyogi Resvy Mahda, S.Si</t>
  </si>
  <si>
    <t>https://www.scopus.com/results/authorNamesList.uri?name=name&amp;st1=mahda&amp;st2=friyogi&amp;origin=searchauthorlookup</t>
  </si>
  <si>
    <t>https://www.scopus.com/authid/detail.uri?authorId=57190489490</t>
  </si>
  <si>
    <t>pegawai pelatihan</t>
  </si>
  <si>
    <t>1 tambahan published paper bln april tidak didata karena afiliasi non BRIN</t>
  </si>
  <si>
    <t>https://www.scopus.com/authid/detail.uri?authorId=58126025300</t>
  </si>
  <si>
    <t>https://www.scopus.com/results/authorNamesList.uri?name=name&amp;st1=bisri&amp;st2=aria&amp;origin=searchauthorlookup</t>
  </si>
  <si>
    <t>Analis Hasil
 Penelitian</t>
  </si>
  <si>
    <t>https://www.scopus.com/authid/detail.uri?authorId=57204890242</t>
  </si>
  <si>
    <t>https://www.scopus.com/authid/detail.uri?authorId=55331105300</t>
  </si>
  <si>
    <t>https://www.scopus.com/authid/detail.uri?authorId=57214779349</t>
  </si>
  <si>
    <t>https://www.scopus.com/authid/detail.uri?authorId=57221730719</t>
  </si>
  <si>
    <t>https://www.scopus.com/authid/detail.uri?authorId=57188977950</t>
  </si>
  <si>
    <t>Pembina Utama Muda - IV/c</t>
  </si>
  <si>
    <t>https://www.scopus.com/authid/detail.uri?authorId=57192266388</t>
  </si>
  <si>
    <t>https://www.scopus.com/authid/detail.uri?authorId=57220783577</t>
  </si>
  <si>
    <t>https://www.scopus.com/authid/detail.uri?authorId=57210913843</t>
  </si>
  <si>
    <t>https://www.scopus.com/authid/detail.uri?authorId=57383807300</t>
  </si>
  <si>
    <t>SATRIO ADI PRIYAMBADA</t>
  </si>
  <si>
    <t>https://www.scopus.com/authid/detail.uri?authorId=57200534945</t>
  </si>
  <si>
    <t>Penata Muda - III/a</t>
  </si>
  <si>
    <t>JUMLAH</t>
  </si>
  <si>
    <t>INDIKATOR KINERJA</t>
  </si>
  <si>
    <t>TARGET</t>
  </si>
  <si>
    <t>Jumlah purwarupa yang dihasilkan di bidang Elektronika</t>
  </si>
  <si>
    <t>Jumlah publikasi ilmiah yang di publikasikan pada jurnal bereputasi global di bidang Elektronika</t>
  </si>
  <si>
    <t>Jumlah kekayaan intelektual di bidang Elektronika</t>
  </si>
  <si>
    <t>Jumlah dana eksternal dari kerjasama penelitian/riset dan pengembangan iptek di bidang Elektronika</t>
  </si>
  <si>
    <t>Jumlah kerja sama riset dan inovasi yang 
dihasilkan di bidang Elektronika</t>
  </si>
  <si>
    <t xml:space="preserve">Jumlah SDM Iptek yang melanjutkan pendidikan ke jenjang S2 dan S3 </t>
  </si>
  <si>
    <t>Jumlah peserta talenta riset dan inovasi dan sumber daya manusia yang ditingkatkan kompetensinya (POSTDOC/VR)</t>
  </si>
  <si>
    <t>Jumlah sitasi atas publikasi ilmiah internasional di bidang  Elektronika</t>
  </si>
  <si>
    <t>Jumlah publikasi ilmiah nasional di bidang Elektronika</t>
  </si>
  <si>
    <t>PEND</t>
  </si>
  <si>
    <t>LIHAT RINCIAN</t>
  </si>
  <si>
    <t>JUDUL PI</t>
  </si>
  <si>
    <t>KR</t>
  </si>
  <si>
    <t>JURNAL</t>
  </si>
  <si>
    <t>JUDUL KI</t>
  </si>
  <si>
    <t>TGL</t>
  </si>
  <si>
    <t>PR</t>
  </si>
  <si>
    <t>Capian KR</t>
  </si>
  <si>
    <t>KR A</t>
  </si>
  <si>
    <t>Publikasi</t>
  </si>
  <si>
    <t>Purwarupa</t>
  </si>
  <si>
    <t>Kekayaan Intelektual</t>
  </si>
  <si>
    <t>Sitasi</t>
  </si>
  <si>
    <t>SDM Iptek S2-S3</t>
  </si>
  <si>
    <t>SDM Iptek Postdoc/VR</t>
  </si>
  <si>
    <t>Progress Capaian</t>
  </si>
  <si>
    <t>PNBP</t>
  </si>
  <si>
    <t>Mitra/Univ</t>
  </si>
  <si>
    <t>Postdoc</t>
  </si>
  <si>
    <t>Visiting Researcher</t>
  </si>
  <si>
    <t>Mandiri</t>
  </si>
  <si>
    <t>Peserta Talenta Riset</t>
  </si>
  <si>
    <t>Postdoctoral</t>
  </si>
  <si>
    <t>Visiting Research</t>
  </si>
  <si>
    <t>,</t>
  </si>
  <si>
    <t>`</t>
  </si>
  <si>
    <t xml:space="preserve">  </t>
  </si>
  <si>
    <t>STATUS KI :</t>
  </si>
  <si>
    <t>JENIS KI :</t>
  </si>
  <si>
    <t>Terindex Scopus</t>
  </si>
  <si>
    <t>Desain Industri</t>
  </si>
  <si>
    <t>JENIS PI</t>
  </si>
  <si>
    <t>REPUTASI PI</t>
  </si>
  <si>
    <t>REPUTASI PN</t>
  </si>
  <si>
    <t>S1</t>
  </si>
  <si>
    <t>Bag Buku</t>
  </si>
  <si>
    <t>Buku</t>
  </si>
  <si>
    <t>STATUS PI</t>
  </si>
  <si>
    <t>JENIS PWRP</t>
  </si>
  <si>
    <t>STATUS PWRP</t>
  </si>
  <si>
    <t>MITRA ?</t>
  </si>
  <si>
    <t>Hardware Prototype</t>
  </si>
  <si>
    <t>Desain Prototype</t>
  </si>
  <si>
    <t>Skala Uji Lapangan</t>
  </si>
  <si>
    <t>Reject</t>
  </si>
  <si>
    <t>Sumber Dana Eksternal</t>
  </si>
  <si>
    <t>Tipe Dana Eksternal</t>
  </si>
  <si>
    <t>Jenis Dana Eksternal</t>
  </si>
  <si>
    <t>Post Doc</t>
  </si>
  <si>
    <t>Output Dana Eksternal</t>
  </si>
  <si>
    <t>Status SDM Iptek</t>
  </si>
  <si>
    <t>Jenjang SDM</t>
  </si>
  <si>
    <t>POSDOC/VR</t>
  </si>
  <si>
    <t>Ijin Belajar</t>
  </si>
  <si>
    <t>Kelompok Riset</t>
  </si>
  <si>
    <t>Status Periode Stamp</t>
  </si>
  <si>
    <t>Status Kelris</t>
  </si>
  <si>
    <t>☑️</t>
  </si>
  <si>
    <t>Kofaktor</t>
  </si>
  <si>
    <t>a</t>
  </si>
  <si>
    <t>b</t>
  </si>
  <si>
    <t>c</t>
  </si>
  <si>
    <t>det</t>
  </si>
  <si>
    <t>Sarrus</t>
  </si>
  <si>
    <t xml:space="preserve">det = </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</si>
</sst>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m&quot; &quot;d&quot;, &quot;yyyy"/>
    <numFmt numFmtId="165" formatCode="mmmm yyyy"/>
    <numFmt numFmtId="166" formatCode="dd/mm/yyyy"/>
    <numFmt numFmtId="167" formatCode="d mmmm yyyy"/>
    <numFmt numFmtId="168" formatCode="d/m/yyyy"/>
    <numFmt numFmtId="169" formatCode="_-&quot;Rp&quot;* #,##0_-;\-&quot;Rp&quot;* #,##0_-;_-&quot;Rp&quot;* &quot;-&quot;_-;_-@"/>
    <numFmt numFmtId="170" formatCode="[$Rp-421]#,##0"/>
    <numFmt numFmtId="171" formatCode="[$-13809]dd/mm/yyyy"/>
    <numFmt numFmtId="172" formatCode="mmmmd"/>
  </numFmts>
  <fonts count="184">
    <font>
      <sz val="11.0"/>
      <color theme="1"/>
      <name val="Courier New"/>
      <scheme val="minor"/>
    </font>
    <font>
      <b/>
      <sz val="14.0"/>
      <color theme="1"/>
      <name val="Calibri"/>
    </font>
    <font>
      <b/>
      <sz val="10.0"/>
      <color theme="1"/>
      <name val="Calibri"/>
    </font>
    <font/>
    <font>
      <color theme="1"/>
      <name val="Courier New"/>
      <scheme val="minor"/>
    </font>
    <font>
      <color theme="1"/>
      <name val="Courier New"/>
    </font>
    <font>
      <b/>
      <sz val="9.0"/>
      <color theme="1"/>
      <name val="Calibri"/>
    </font>
    <font>
      <sz val="9.0"/>
      <color theme="1"/>
      <name val="Calibri"/>
    </font>
    <font>
      <sz val="10.0"/>
      <color theme="1"/>
      <name val="Arial"/>
    </font>
    <font>
      <u/>
      <sz val="9.0"/>
      <color rgb="FF0000FF"/>
      <name val="Calibri"/>
    </font>
    <font>
      <u/>
      <sz val="9.0"/>
      <color theme="1"/>
      <name val="Calibri"/>
    </font>
    <font>
      <u/>
      <sz val="9.0"/>
      <color rgb="FF0000FF"/>
      <name val="Calibri"/>
    </font>
    <font>
      <color theme="1"/>
      <name val="Arial"/>
    </font>
    <font>
      <color rgb="FF1155CC"/>
      <name val="Arial"/>
    </font>
    <font>
      <u/>
      <color rgb="FF1155CC"/>
      <name val="Arial"/>
    </font>
    <font>
      <u/>
      <color rgb="FF0000FF"/>
      <name val="Arial"/>
    </font>
    <font>
      <u/>
      <sz val="9.0"/>
      <color theme="1"/>
      <name val="Calibri"/>
    </font>
    <font>
      <u/>
      <sz val="9.0"/>
      <color rgb="FF0000FF"/>
      <name val="Calibri"/>
    </font>
    <font>
      <u/>
      <sz val="10.0"/>
      <color theme="1"/>
      <name val="Arial"/>
    </font>
    <font>
      <u/>
      <sz val="9.0"/>
      <color rgb="FF000000"/>
      <name val="Calibri"/>
    </font>
    <font>
      <u/>
      <sz val="9.0"/>
      <color rgb="FF0000FF"/>
      <name val="Calibri"/>
    </font>
    <font>
      <sz val="10.0"/>
      <color rgb="FF000000"/>
      <name val="Arial"/>
    </font>
    <font>
      <u/>
      <sz val="9.0"/>
      <color theme="1"/>
      <name val="Calibri"/>
    </font>
    <font>
      <sz val="9.0"/>
      <color theme="1"/>
      <name val="Arial"/>
    </font>
    <font>
      <sz val="9.0"/>
      <color rgb="FF0000FF"/>
      <name val="Calibri"/>
    </font>
    <font>
      <b/>
      <u/>
      <sz val="9.0"/>
      <color rgb="FF0000FF"/>
      <name val="Calibri"/>
    </font>
    <font>
      <b/>
      <color theme="1"/>
      <name val="Courier New"/>
    </font>
    <font>
      <sz val="9.0"/>
      <color rgb="FF666666"/>
      <name val="&quot;Helvetica Neue&quot;"/>
    </font>
    <font>
      <b/>
      <u/>
      <sz val="9.0"/>
      <color theme="1"/>
      <name val="Calibri"/>
    </font>
    <font>
      <sz val="9.0"/>
      <color rgb="FF222222"/>
      <name val="Calibri"/>
    </font>
    <font>
      <u/>
      <sz val="9.0"/>
      <color rgb="FF0000FF"/>
      <name val="&quot;Open Sans&quot;"/>
    </font>
    <font>
      <sz val="9.0"/>
      <color rgb="FF000000"/>
      <name val="Arial"/>
    </font>
    <font>
      <sz val="9.0"/>
      <color rgb="FF000000"/>
      <name val="Calibri"/>
    </font>
    <font>
      <u/>
      <sz val="9.0"/>
      <color rgb="FF0000FF"/>
      <name val="Calibri"/>
    </font>
    <font>
      <u/>
      <sz val="9.0"/>
      <color rgb="FF0000FF"/>
      <name val="Calibri"/>
    </font>
    <font>
      <color theme="1"/>
      <name val="Century Gothic"/>
    </font>
    <font>
      <sz val="11.0"/>
      <color theme="1"/>
      <name val="Calibri"/>
    </font>
    <font>
      <u/>
      <color rgb="FF0000FF"/>
      <name val="Century Gothic"/>
    </font>
    <font>
      <u/>
      <sz val="9.0"/>
      <color rgb="FF000000"/>
      <name val="Arial"/>
    </font>
    <font>
      <sz val="10.0"/>
      <color rgb="FF000000"/>
      <name val="&quot;Arial&quot;"/>
    </font>
    <font>
      <sz val="8.0"/>
      <color theme="1"/>
      <name val="Arial"/>
    </font>
    <font>
      <u/>
      <sz val="9.0"/>
      <color rgb="FF0000FF"/>
    </font>
    <font>
      <sz val="9.0"/>
      <color rgb="FF1F1F1F"/>
      <name val="Arial"/>
    </font>
    <font>
      <color rgb="FF1155CC"/>
      <name val="Century Gothic"/>
    </font>
    <font>
      <u/>
      <color rgb="FF1155CC"/>
      <name val="Century Gothic"/>
    </font>
    <font>
      <u/>
      <sz val="9.0"/>
      <color rgb="FF0000FF"/>
      <name val="Arial"/>
    </font>
    <font>
      <sz val="10.0"/>
      <color rgb="FF0D0D0D"/>
      <name val="Arial"/>
    </font>
    <font>
      <sz val="9.0"/>
      <color rgb="FF000000"/>
      <name val="&quot;Times New Roman&quot;"/>
    </font>
    <font>
      <u/>
      <color rgb="FF0000FF"/>
      <name val="Arial"/>
    </font>
    <font>
      <u/>
      <sz val="9.0"/>
      <color rgb="FF0000FF"/>
      <name val="Calibri"/>
    </font>
    <font>
      <sz val="11.0"/>
      <color rgb="FF2E2E2E"/>
      <name val="Arial"/>
    </font>
    <font>
      <u/>
      <sz val="11.0"/>
      <color rgb="FF2E2E2E"/>
      <name val="Arial"/>
    </font>
    <font>
      <u/>
      <sz val="9.0"/>
      <color theme="1"/>
      <name val="Calibri"/>
    </font>
    <font>
      <u/>
      <sz val="9.0"/>
      <color rgb="FF0000FF"/>
      <name val="Calibri"/>
    </font>
    <font>
      <u/>
      <sz val="9.0"/>
      <color theme="1"/>
      <name val="Calibri"/>
    </font>
    <font>
      <u/>
      <sz val="9.0"/>
      <color rgb="FF0000FF"/>
      <name val="Calibri"/>
    </font>
    <font>
      <u/>
      <sz val="9.0"/>
      <color theme="1"/>
      <name val="Calibri"/>
    </font>
    <font>
      <sz val="9.0"/>
      <color rgb="FF000000"/>
      <name val="&quot;Noto Sans&quot;"/>
    </font>
    <font>
      <sz val="9.0"/>
      <color rgb="FF2D2D2D"/>
      <name val="Calibri"/>
    </font>
    <font>
      <u/>
      <sz val="9.0"/>
      <color rgb="FF0000FF"/>
    </font>
    <font>
      <sz val="9.0"/>
      <color theme="1"/>
      <name val="Serif"/>
    </font>
    <font>
      <u/>
      <sz val="9.0"/>
      <color theme="1"/>
      <name val="Calibri"/>
    </font>
    <font>
      <color theme="1"/>
      <name val="&quot;Times New Roman&quot;"/>
    </font>
    <font>
      <u/>
      <sz val="9.0"/>
      <color rgb="FF0000FF"/>
      <name val="Calibri"/>
    </font>
    <font>
      <u/>
      <sz val="9.0"/>
      <color rgb="FF000000"/>
      <name val="Courier New"/>
    </font>
    <font>
      <sz val="9.0"/>
      <color theme="1"/>
      <name val="Courier New"/>
    </font>
    <font>
      <u/>
      <color rgb="FF0000FF"/>
    </font>
    <font>
      <sz val="9.0"/>
      <color rgb="FF0000FF"/>
      <name val="Courier New"/>
    </font>
    <font>
      <u/>
      <sz val="9.0"/>
      <color theme="1"/>
      <name val="Courier New"/>
    </font>
    <font>
      <u/>
      <sz val="9.0"/>
      <color theme="1"/>
      <name val="Courier New"/>
    </font>
    <font>
      <u/>
      <sz val="9.0"/>
      <color rgb="FF0000FF"/>
      <name val="Courier New"/>
    </font>
    <font>
      <u/>
      <sz val="9.0"/>
      <color rgb="FF0000FF"/>
      <name val="Courier New"/>
    </font>
    <font>
      <sz val="10.0"/>
      <color theme="1"/>
      <name val="Courier New"/>
    </font>
    <font>
      <u/>
      <sz val="9.0"/>
      <color rgb="FF0000FF"/>
      <name val="Arial"/>
    </font>
    <font>
      <sz val="11.0"/>
      <color theme="1"/>
      <name val="Courier New"/>
    </font>
    <font>
      <u/>
      <sz val="9.0"/>
      <color rgb="FF0000FF"/>
      <name val="Courier New"/>
    </font>
    <font>
      <u/>
      <sz val="9.0"/>
      <color theme="1"/>
      <name val="Arial"/>
    </font>
    <font>
      <sz val="9.0"/>
      <color rgb="FF0000FF"/>
      <name val="Helvetica Neue"/>
    </font>
    <font>
      <sz val="9.0"/>
      <color rgb="FF0000FF"/>
      <name val="Arial"/>
    </font>
    <font>
      <u/>
      <sz val="9.0"/>
      <color rgb="FF0000FF"/>
      <name val="Arial"/>
    </font>
    <font>
      <sz val="10.0"/>
      <color theme="1"/>
      <name val="Courier New"/>
      <scheme val="minor"/>
    </font>
    <font>
      <sz val="9.0"/>
      <color theme="1"/>
      <name val="Courier New"/>
      <scheme val="minor"/>
    </font>
    <font>
      <b/>
      <sz val="14.0"/>
      <color rgb="FF000000"/>
      <name val="Calibri"/>
    </font>
    <font>
      <sz val="8.0"/>
      <color rgb="FF555555"/>
      <name val="Poppins"/>
    </font>
    <font>
      <u/>
      <sz val="9.0"/>
      <color rgb="FF0000FF"/>
      <name val="Calibri"/>
    </font>
    <font>
      <color rgb="FF333333"/>
      <name val="Poppins"/>
    </font>
    <font>
      <u/>
      <sz val="9.0"/>
      <color rgb="FF0000FF"/>
      <name val="Calibri"/>
    </font>
    <font>
      <u/>
      <sz val="9.0"/>
      <color theme="1"/>
      <name val="Calibri"/>
    </font>
    <font>
      <u/>
      <sz val="9.0"/>
      <color theme="10"/>
      <name val="Calibri"/>
    </font>
    <font>
      <sz val="9.0"/>
      <color rgb="FF555555"/>
      <name val="Calibri"/>
    </font>
    <font>
      <u/>
      <sz val="9.0"/>
      <color rgb="FF000000"/>
      <name val="Calibri"/>
    </font>
    <font>
      <u/>
      <sz val="9.0"/>
      <color theme="1"/>
      <name val="Calibri"/>
    </font>
    <font>
      <u/>
      <sz val="9.0"/>
      <color rgb="FF0000FF"/>
      <name val="Calibri"/>
    </font>
    <font>
      <sz val="8.0"/>
      <color rgb="FF555555"/>
      <name val="Calibri"/>
    </font>
    <font>
      <u/>
      <sz val="9.0"/>
      <color theme="1"/>
      <name val="Calibri"/>
    </font>
    <font>
      <u/>
      <sz val="9.0"/>
      <color theme="1"/>
      <name val="Calibri"/>
    </font>
    <font>
      <sz val="11.0"/>
      <color rgb="FF555555"/>
      <name val="Poppins"/>
    </font>
    <font>
      <color rgb="FF555555"/>
      <name val="Poppins"/>
    </font>
    <font>
      <sz val="8.0"/>
      <color theme="1"/>
      <name val="Courier New"/>
    </font>
    <font>
      <sz val="10.0"/>
      <color theme="1"/>
      <name val="Calibri"/>
    </font>
    <font>
      <b/>
      <sz val="11.0"/>
      <color theme="1"/>
      <name val="Arial"/>
    </font>
    <font>
      <sz val="12.0"/>
      <color theme="1"/>
      <name val="Arial"/>
    </font>
    <font>
      <u/>
      <sz val="9.0"/>
      <color rgb="FF0000FF"/>
      <name val="Calibri"/>
    </font>
    <font>
      <b/>
      <u/>
      <sz val="9.0"/>
      <color theme="1"/>
      <name val="Calibri"/>
    </font>
    <font>
      <u/>
      <sz val="9.0"/>
      <color theme="1"/>
      <name val="Calibri"/>
    </font>
    <font>
      <u/>
      <sz val="9.0"/>
      <color theme="1"/>
      <name val="Calibri"/>
    </font>
    <font>
      <u/>
      <sz val="9.0"/>
      <color theme="1"/>
      <name val="Calibri"/>
    </font>
    <font>
      <sz val="8.0"/>
      <color theme="1"/>
      <name val="Calibri"/>
    </font>
    <font>
      <u/>
      <sz val="9.0"/>
      <color rgb="FF0000FF"/>
      <name val="Calibri"/>
    </font>
    <font>
      <sz val="11.0"/>
      <color theme="1"/>
      <name val="Arial"/>
    </font>
    <font>
      <u/>
      <sz val="8.0"/>
      <color theme="1"/>
      <name val="Calibri"/>
    </font>
    <font>
      <u/>
      <sz val="9.0"/>
      <color rgb="FF0000FF"/>
      <name val="Calibri"/>
    </font>
    <font>
      <b/>
      <u/>
      <sz val="9.0"/>
      <color theme="1"/>
      <name val="Calibri"/>
    </font>
    <font>
      <b/>
      <sz val="31.0"/>
      <color theme="1"/>
      <name val="Calibri"/>
    </font>
    <font>
      <u/>
      <sz val="10.0"/>
      <color theme="1"/>
      <name val="Calibri"/>
    </font>
    <font>
      <sz val="9.0"/>
      <color rgb="FF495057"/>
      <name val="Calibri"/>
    </font>
    <font>
      <u/>
      <sz val="11.0"/>
      <color theme="1"/>
      <name val="Calibri"/>
    </font>
    <font>
      <u/>
      <sz val="11.0"/>
      <color theme="1"/>
      <name val="Calibri"/>
    </font>
    <font>
      <color theme="1"/>
      <name val="Calibri"/>
    </font>
    <font>
      <u/>
      <color theme="1"/>
      <name val="Calibri"/>
    </font>
    <font>
      <u/>
      <sz val="9.0"/>
      <color rgb="FF0000FF"/>
      <name val="Calibri"/>
    </font>
    <font>
      <b/>
      <sz val="12.0"/>
      <color theme="1"/>
      <name val="Calibri"/>
    </font>
    <font>
      <b/>
      <sz val="11.0"/>
      <color theme="1"/>
      <name val="Calibri"/>
    </font>
    <font>
      <sz val="18.0"/>
      <color theme="1"/>
      <name val="Calibri"/>
    </font>
    <font>
      <u/>
      <color rgb="FF000000"/>
      <name val="Courier New"/>
    </font>
    <font>
      <u/>
      <color theme="1"/>
      <name val="Courier New"/>
    </font>
    <font>
      <u/>
      <color theme="1"/>
      <name val="Courier New"/>
    </font>
    <font>
      <u/>
      <color theme="1"/>
      <name val="Arial"/>
    </font>
    <font>
      <u/>
      <sz val="11.0"/>
      <color rgb="FF0000FF"/>
      <name val="Calibri"/>
    </font>
    <font>
      <u/>
      <sz val="11.0"/>
      <color rgb="FF0000FF"/>
      <name val="Calibri"/>
    </font>
    <font>
      <u/>
      <sz val="11.0"/>
      <color rgb="FF000000"/>
      <name val="Calibri"/>
    </font>
    <font>
      <u/>
      <sz val="11.0"/>
      <color rgb="FF000000"/>
      <name val="Calibri"/>
    </font>
    <font>
      <u/>
      <color theme="1"/>
      <name val="Calibri"/>
    </font>
    <font>
      <sz val="10.0"/>
      <color rgb="FF000000"/>
      <name val="Docs-Calibri"/>
    </font>
    <font>
      <u/>
      <sz val="10.0"/>
      <color rgb="FF000000"/>
      <name val="Arial"/>
    </font>
    <font>
      <u/>
      <color theme="1"/>
      <name val="Calibri"/>
    </font>
    <font>
      <b/>
      <color theme="1"/>
      <name val="Calibri"/>
    </font>
    <font>
      <b/>
      <u/>
      <color theme="1"/>
      <name val="Calibri"/>
    </font>
    <font>
      <u/>
      <sz val="10.0"/>
      <color rgb="FF000000"/>
      <name val="Arial"/>
    </font>
    <font>
      <u/>
      <sz val="11.0"/>
      <color theme="1"/>
      <name val="Calibri"/>
    </font>
    <font>
      <u/>
      <sz val="10.0"/>
      <color rgb="FF000000"/>
      <name val="Calibri"/>
    </font>
    <font>
      <u/>
      <sz val="10.0"/>
      <color rgb="FF0000FF"/>
      <name val="Calibri"/>
    </font>
    <font>
      <u/>
      <sz val="9.0"/>
      <color rgb="FF0000FF"/>
      <name val="Calibri"/>
    </font>
    <font>
      <u/>
      <sz val="9.0"/>
      <color theme="1"/>
      <name val="Calibri"/>
    </font>
    <font>
      <u/>
      <sz val="9.0"/>
      <color theme="1"/>
      <name val="Arial"/>
    </font>
    <font>
      <sz val="9.0"/>
      <color theme="1"/>
      <name val="Sans-serif"/>
    </font>
    <font>
      <sz val="9.0"/>
      <color theme="1"/>
      <name val="Palatino Linotype"/>
    </font>
    <font>
      <u/>
      <color theme="1"/>
      <name val="Courier New"/>
    </font>
    <font>
      <u/>
      <sz val="14.0"/>
      <color theme="1"/>
      <name val="Arial"/>
    </font>
    <font>
      <u/>
      <color theme="1"/>
      <name val="Arial"/>
    </font>
    <font>
      <sz val="10.0"/>
      <color theme="1"/>
      <name val="Helvetica Neue"/>
    </font>
    <font>
      <sz val="11.0"/>
      <color rgb="FF000000"/>
      <name val="Calibri"/>
    </font>
    <font>
      <u/>
      <sz val="11.0"/>
      <color rgb="FF0000FF"/>
      <name val="Calibri"/>
    </font>
    <font>
      <sz val="12.0"/>
      <color theme="1"/>
      <name val="Cambria"/>
    </font>
    <font>
      <u/>
      <sz val="11.0"/>
      <color rgb="FF0000FF"/>
      <name val="Calibri"/>
    </font>
    <font>
      <sz val="11.0"/>
      <color rgb="FFFF0000"/>
      <name val="Calibri"/>
    </font>
    <font>
      <u/>
      <sz val="11.0"/>
      <color rgb="FF0000FF"/>
      <name val="Calibri"/>
    </font>
    <font>
      <u/>
      <sz val="11.0"/>
      <color rgb="FF0000FF"/>
      <name val="Calibri"/>
    </font>
    <font>
      <u/>
      <sz val="11.0"/>
      <color rgb="FF0000FF"/>
      <name val="Calibri"/>
    </font>
    <font>
      <u/>
      <sz val="11.0"/>
      <color rgb="FF0000FF"/>
      <name val="Calibri"/>
    </font>
    <font>
      <u/>
      <sz val="11.0"/>
      <color rgb="FF0000FF"/>
      <name val="Calibri"/>
    </font>
    <font>
      <u/>
      <sz val="11.0"/>
      <color theme="1"/>
      <name val="Calibri"/>
    </font>
    <font>
      <u/>
      <sz val="11.0"/>
      <color rgb="FF0000FF"/>
      <name val="Calibri"/>
    </font>
    <font>
      <u/>
      <sz val="11.0"/>
      <color rgb="FF0000FF"/>
      <name val="Calibri"/>
    </font>
    <font>
      <u/>
      <sz val="11.0"/>
      <color rgb="FF0000FF"/>
      <name val="Calibri"/>
    </font>
    <font>
      <b/>
      <sz val="1.0"/>
      <color theme="1"/>
      <name val="Pacifico"/>
    </font>
    <font>
      <b/>
      <sz val="9.0"/>
      <color rgb="FF000000"/>
      <name val="Arial"/>
    </font>
    <font>
      <sz val="12.0"/>
      <color theme="1"/>
      <name val="Calibri"/>
    </font>
    <font>
      <i/>
      <sz val="11.0"/>
      <color theme="1"/>
      <name val="Calibri"/>
    </font>
    <font>
      <sz val="11.0"/>
      <color theme="1"/>
      <name val="&quot;Courier New&quot;"/>
    </font>
    <font>
      <b/>
      <i/>
      <sz val="9.0"/>
      <color rgb="FF000000"/>
      <name val="Arial"/>
    </font>
    <font>
      <i/>
      <sz val="11.0"/>
      <color theme="1"/>
      <name val="Courier New"/>
    </font>
    <font>
      <b/>
      <i/>
      <sz val="11.0"/>
      <color theme="1"/>
      <name val="Calibri"/>
    </font>
    <font>
      <b/>
      <i/>
      <sz val="14.0"/>
      <color theme="1"/>
      <name val="Calibri"/>
    </font>
    <font>
      <b/>
      <sz val="9.0"/>
      <color theme="1"/>
      <name val="Arial"/>
    </font>
    <font>
      <b/>
      <i/>
      <sz val="9.0"/>
      <color theme="1"/>
      <name val="Arial"/>
    </font>
    <font>
      <sz val="1.0"/>
      <color theme="1"/>
      <name val="Pacifico"/>
    </font>
    <font>
      <color rgb="FF000000"/>
      <name val="Calibri"/>
    </font>
    <font>
      <sz val="1.0"/>
      <color rgb="FF000000"/>
      <name val="Pacifico"/>
    </font>
    <font>
      <strike/>
      <sz val="11.0"/>
      <color theme="1"/>
      <name val="Calibri"/>
    </font>
    <font>
      <b/>
      <sz val="12.0"/>
      <color theme="1"/>
      <name val="Courier New"/>
    </font>
    <font>
      <b/>
      <sz val="11.0"/>
      <color theme="1"/>
      <name val="Courier New"/>
    </font>
    <font>
      <sz val="9.0"/>
      <color rgb="FFF7981D"/>
      <name val="&quot;Google Sans Mono&quot;"/>
    </font>
    <font>
      <sz val="12.0"/>
      <color rgb="FFD1D5DB"/>
      <name val="Söhne"/>
    </font>
  </fonts>
  <fills count="28">
    <fill>
      <patternFill patternType="none"/>
    </fill>
    <fill>
      <patternFill patternType="lightGray"/>
    </fill>
    <fill>
      <patternFill patternType="solid">
        <fgColor rgb="FFF3F3F3"/>
        <bgColor rgb="FFF3F3F3"/>
      </patternFill>
    </fill>
    <fill>
      <patternFill patternType="solid">
        <fgColor rgb="FF92CDDC"/>
        <bgColor rgb="FF92CDDC"/>
      </patternFill>
    </fill>
    <fill>
      <patternFill patternType="solid">
        <fgColor rgb="FFFFFF00"/>
        <bgColor rgb="FFFFFF00"/>
      </patternFill>
    </fill>
    <fill>
      <patternFill patternType="solid">
        <fgColor rgb="FFFFFFFF"/>
        <bgColor rgb="FFFFFFFF"/>
      </patternFill>
    </fill>
    <fill>
      <patternFill patternType="solid">
        <fgColor rgb="FFF9F9F9"/>
        <bgColor rgb="FFF9F9F9"/>
      </patternFill>
    </fill>
    <fill>
      <patternFill patternType="solid">
        <fgColor rgb="FFF5F8FA"/>
        <bgColor rgb="FFF5F8FA"/>
      </patternFill>
    </fill>
    <fill>
      <patternFill patternType="solid">
        <fgColor rgb="FF00FF00"/>
        <bgColor rgb="FF00FF00"/>
      </patternFill>
    </fill>
    <fill>
      <patternFill patternType="solid">
        <fgColor rgb="FFF4CCCC"/>
        <bgColor rgb="FFF4CCCC"/>
      </patternFill>
    </fill>
    <fill>
      <patternFill patternType="solid">
        <fgColor rgb="FF00FFFF"/>
        <bgColor rgb="FF00FFFF"/>
      </patternFill>
    </fill>
    <fill>
      <patternFill patternType="solid">
        <fgColor theme="0"/>
        <bgColor theme="0"/>
      </patternFill>
    </fill>
    <fill>
      <patternFill patternType="solid">
        <fgColor rgb="FFB6DDE8"/>
        <bgColor rgb="FFB6DDE8"/>
      </patternFill>
    </fill>
    <fill>
      <patternFill patternType="solid">
        <fgColor rgb="FFF2DBDB"/>
        <bgColor rgb="FFF2DBDB"/>
      </patternFill>
    </fill>
    <fill>
      <patternFill patternType="solid">
        <fgColor rgb="FFDBE5F1"/>
        <bgColor rgb="FFDBE5F1"/>
      </patternFill>
    </fill>
    <fill>
      <patternFill patternType="solid">
        <fgColor rgb="FFB7E1CD"/>
        <bgColor rgb="FFB7E1CD"/>
      </patternFill>
    </fill>
    <fill>
      <patternFill patternType="solid">
        <fgColor rgb="FFEAF1DD"/>
        <bgColor rgb="FFEAF1DD"/>
      </patternFill>
    </fill>
    <fill>
      <patternFill patternType="solid">
        <fgColor rgb="FF46BDC6"/>
        <bgColor rgb="FF46BDC6"/>
      </patternFill>
    </fill>
    <fill>
      <patternFill patternType="solid">
        <fgColor rgb="FFE06666"/>
        <bgColor rgb="FFE06666"/>
      </patternFill>
    </fill>
    <fill>
      <patternFill patternType="solid">
        <fgColor rgb="FFFFF2CC"/>
        <bgColor rgb="FFFFF2CC"/>
      </patternFill>
    </fill>
    <fill>
      <patternFill patternType="solid">
        <fgColor rgb="FFFFE599"/>
        <bgColor rgb="FFFFE599"/>
      </patternFill>
    </fill>
    <fill>
      <patternFill patternType="solid">
        <fgColor rgb="FFFCE5CD"/>
        <bgColor rgb="FFFCE5CD"/>
      </patternFill>
    </fill>
    <fill>
      <patternFill patternType="solid">
        <fgColor rgb="FFCFE2F3"/>
        <bgColor rgb="FFCFE2F3"/>
      </patternFill>
    </fill>
    <fill>
      <patternFill patternType="solid">
        <fgColor rgb="FFEAD1DC"/>
        <bgColor rgb="FFEAD1DC"/>
      </patternFill>
    </fill>
    <fill>
      <patternFill patternType="solid">
        <fgColor rgb="FFD9EAD3"/>
        <bgColor rgb="FFD9EAD3"/>
      </patternFill>
    </fill>
    <fill>
      <patternFill patternType="solid">
        <fgColor rgb="FFD9D2E9"/>
        <bgColor rgb="FFD9D2E9"/>
      </patternFill>
    </fill>
    <fill>
      <patternFill patternType="solid">
        <fgColor rgb="FFCCCCCC"/>
        <bgColor rgb="FFCCCCCC"/>
      </patternFill>
    </fill>
    <fill>
      <patternFill patternType="solid">
        <fgColor rgb="FFD0E0E3"/>
        <bgColor rgb="FFD0E0E3"/>
      </patternFill>
    </fill>
  </fills>
  <borders count="93">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bottom style="double">
        <color rgb="FF000000"/>
      </bottom>
    </border>
    <border>
      <left style="thin">
        <color rgb="FF000000"/>
      </left>
      <top style="double">
        <color rgb="FF000000"/>
      </top>
      <bottom style="double">
        <color rgb="FF000000"/>
      </bottom>
    </border>
    <border>
      <top style="double">
        <color rgb="FF000000"/>
      </top>
      <bottom style="double">
        <color rgb="FF000000"/>
      </bottom>
    </border>
    <border>
      <right style="thin">
        <color rgb="FF000000"/>
      </right>
      <top style="double">
        <color rgb="FF000000"/>
      </top>
      <bottom style="double">
        <color rgb="FF000000"/>
      </bottom>
    </border>
    <border>
      <left style="thin">
        <color rgb="FF000000"/>
      </left>
      <top style="double">
        <color rgb="FF000000"/>
      </top>
    </border>
    <border>
      <top style="double">
        <color rgb="FF000000"/>
      </top>
    </border>
    <border>
      <right style="thin">
        <color rgb="FF000000"/>
      </right>
      <top style="double">
        <color rgb="FF000000"/>
      </top>
    </border>
    <border>
      <left style="double">
        <color rgb="FF000000"/>
      </left>
      <right style="thin">
        <color rgb="FF000000"/>
      </right>
      <bottom style="double">
        <color rgb="FF000000"/>
      </bottom>
    </border>
    <border>
      <right style="thin">
        <color rgb="FF000000"/>
      </right>
      <bottom style="double">
        <color rgb="FF000000"/>
      </bottom>
    </border>
    <border>
      <left style="thin">
        <color rgb="FF000000"/>
      </left>
      <right style="thin">
        <color rgb="FF000000"/>
      </right>
      <bottom style="double">
        <color rgb="FF000000"/>
      </bottom>
    </border>
    <border>
      <left style="thin">
        <color rgb="FF000000"/>
      </left>
      <right style="thin">
        <color rgb="FF000000"/>
      </right>
      <top style="double">
        <color rgb="FF000000"/>
      </top>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top style="double">
        <color rgb="FF000000"/>
      </top>
      <bottom style="double">
        <color rgb="FF000000"/>
      </bottom>
    </border>
    <border>
      <left style="double">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double">
        <color rgb="FF000000"/>
      </top>
      <bottom style="thin">
        <color rgb="FF000000"/>
      </bottom>
    </border>
    <border>
      <right style="thin">
        <color rgb="FF000000"/>
      </right>
      <top style="double">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double">
        <color rgb="FF000000"/>
      </right>
      <bottom style="thin">
        <color rgb="FF000000"/>
      </bottom>
    </border>
    <border>
      <left style="double">
        <color rgb="FF000000"/>
      </left>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double">
        <color rgb="FF000000"/>
      </right>
      <top style="thin">
        <color rgb="FF000000"/>
      </top>
    </border>
    <border>
      <left style="thin">
        <color rgb="FF000000"/>
      </left>
      <right style="thick">
        <color rgb="FF000000"/>
      </right>
      <top style="thin">
        <color rgb="FF000000"/>
      </top>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top style="double">
        <color rgb="FF000000"/>
      </top>
      <bottom style="thin">
        <color rgb="FF000000"/>
      </bottom>
    </border>
    <border>
      <left style="double">
        <color rgb="FF000000"/>
      </left>
      <right style="thin">
        <color rgb="FF000000"/>
      </right>
      <top style="double">
        <color rgb="FF000000"/>
      </top>
    </border>
    <border>
      <left style="thin">
        <color rgb="FF000000"/>
      </left>
      <right style="thin">
        <color rgb="FF000000"/>
      </right>
      <top style="double">
        <color rgb="FF000000"/>
      </top>
    </border>
    <border>
      <left style="thin">
        <color rgb="FF000000"/>
      </left>
      <right style="thin">
        <color rgb="FF000000"/>
      </right>
    </border>
    <border>
      <right style="thin">
        <color rgb="FF000000"/>
      </right>
    </border>
    <border>
      <left style="thin">
        <color rgb="FF000000"/>
      </left>
      <right style="double">
        <color rgb="FF000000"/>
      </right>
      <top style="double">
        <color rgb="FF000000"/>
      </top>
    </border>
    <border>
      <left style="thin">
        <color rgb="FF000000"/>
      </left>
      <right style="thin">
        <color rgb="FF000000"/>
      </right>
      <top style="thin">
        <color rgb="FF000000"/>
      </top>
      <bottom style="medium">
        <color rgb="FF000000"/>
      </bottom>
    </border>
    <border>
      <left style="thin">
        <color rgb="FF000000"/>
      </left>
      <right style="thin">
        <color rgb="FF000000"/>
      </right>
      <top style="medium">
        <color rgb="FF000000"/>
      </top>
      <bottom style="double">
        <color rgb="FF000000"/>
      </bottom>
    </border>
    <border>
      <left style="thin">
        <color rgb="FF000000"/>
      </left>
      <bottom style="double">
        <color rgb="FF000000"/>
      </bottom>
    </border>
    <border>
      <left style="thin">
        <color rgb="FF000000"/>
      </left>
    </border>
    <border>
      <right style="double">
        <color rgb="FF000000"/>
      </right>
      <top style="thin">
        <color rgb="FF000000"/>
      </top>
      <bottom style="thin">
        <color rgb="FF000000"/>
      </bottom>
    </border>
    <border>
      <top style="thin">
        <color rgb="FF000000"/>
      </top>
      <bottom style="double">
        <color rgb="FF000000"/>
      </bottom>
    </border>
    <border>
      <right style="double">
        <color rgb="FF000000"/>
      </right>
      <top style="thin">
        <color rgb="FF000000"/>
      </top>
      <bottom style="double">
        <color rgb="FF000000"/>
      </bottom>
    </border>
    <border>
      <left style="double">
        <color rgb="FF000000"/>
      </left>
      <top style="double">
        <color rgb="FF000000"/>
      </top>
      <bottom style="double">
        <color rgb="FF000000"/>
      </bottom>
    </border>
    <border>
      <right style="double">
        <color rgb="FF000000"/>
      </right>
      <top style="double">
        <color rgb="FF000000"/>
      </top>
      <bottom style="double">
        <color rgb="FF000000"/>
      </bottom>
    </border>
    <border>
      <left style="double">
        <color rgb="FF000000"/>
      </left>
      <right style="thin">
        <color rgb="FF000000"/>
      </right>
      <top style="double">
        <color rgb="FF000000"/>
      </top>
      <bottom style="double">
        <color rgb="FF000000"/>
      </bottom>
    </border>
    <border>
      <left style="double">
        <color rgb="FF000000"/>
      </left>
      <right style="thin">
        <color rgb="FF000000"/>
      </right>
      <top/>
      <bottom style="thin">
        <color rgb="FF000000"/>
      </bottom>
    </border>
    <border>
      <right style="thin">
        <color rgb="FF000000"/>
      </right>
      <top/>
      <bottom style="thin">
        <color rgb="FF000000"/>
      </bottom>
    </border>
    <border>
      <left style="thin">
        <color rgb="FF000000"/>
      </left>
      <right style="thin">
        <color rgb="FF000000"/>
      </right>
      <top/>
      <bottom style="thin">
        <color rgb="FF000000"/>
      </bottom>
    </border>
    <border>
      <right style="double">
        <color rgb="FF000000"/>
      </right>
      <bottom style="thin">
        <color rgb="FF000000"/>
      </bottom>
    </border>
    <border>
      <top style="thin">
        <color rgb="FF000000"/>
      </top>
      <bottom style="thin">
        <color rgb="FF000000"/>
      </bottom>
    </border>
    <border>
      <left style="double">
        <color rgb="FF000000"/>
      </left>
      <right style="thin">
        <color rgb="FF000000"/>
      </right>
      <top style="thin">
        <color rgb="FF000000"/>
      </top>
      <bottom style="medium">
        <color rgb="FF000000"/>
      </bottom>
    </border>
    <border>
      <right style="thin">
        <color rgb="FF000000"/>
      </right>
      <top style="thin">
        <color rgb="FF000000"/>
      </top>
      <bottom style="double">
        <color rgb="FF000000"/>
      </bottom>
    </border>
    <border>
      <right style="double">
        <color rgb="FF000000"/>
      </right>
      <bottom style="double">
        <color rgb="FF000000"/>
      </bottom>
    </border>
    <border>
      <right style="thin">
        <color rgb="FF000000"/>
      </right>
      <top style="thin">
        <color rgb="FF000000"/>
      </top>
    </border>
    <border>
      <left/>
      <right/>
      <top/>
      <bottom/>
    </border>
    <border>
      <right style="double">
        <color rgb="FF000000"/>
      </right>
      <top style="double">
        <color rgb="FF000000"/>
      </top>
      <bottom style="thin">
        <color rgb="FF000000"/>
      </bottom>
    </border>
    <border>
      <left style="double">
        <color rgb="FF000000"/>
      </left>
      <top style="double">
        <color rgb="FF000000"/>
      </top>
      <bottom style="thin">
        <color rgb="FF000000"/>
      </bottom>
    </border>
    <border>
      <left style="thin">
        <color rgb="FF000000"/>
      </left>
      <right style="double">
        <color rgb="FF000000"/>
      </right>
      <top style="thin">
        <color rgb="FF000000"/>
      </top>
      <bottom style="double">
        <color rgb="FF000000"/>
      </bottom>
    </border>
    <border>
      <left style="double">
        <color rgb="FF000000"/>
      </left>
      <right style="thin">
        <color rgb="FF000000"/>
      </right>
      <top style="thin">
        <color rgb="FF000000"/>
      </top>
      <bottom style="double">
        <color rgb="FF000000"/>
      </bottom>
    </border>
    <border>
      <left style="double">
        <color rgb="FF000000"/>
      </left>
      <bottom style="thin">
        <color rgb="FF000000"/>
      </bottom>
    </border>
    <border>
      <left style="thin">
        <color rgb="FF000000"/>
      </left>
      <right style="double">
        <color rgb="FF000000"/>
      </right>
      <top/>
      <bottom style="thin">
        <color rgb="FF000000"/>
      </bottom>
    </border>
    <border>
      <left style="double">
        <color rgb="FF000000"/>
      </left>
      <top style="thin">
        <color rgb="FF000000"/>
      </top>
      <bottom style="thin">
        <color rgb="FF000000"/>
      </bottom>
    </border>
    <border>
      <left style="double">
        <color rgb="FF000000"/>
      </left>
      <top style="thin">
        <color rgb="FF000000"/>
      </top>
      <bottom style="double">
        <color rgb="FF000000"/>
      </bottom>
    </border>
    <border>
      <right style="double">
        <color rgb="FF000000"/>
      </right>
    </border>
    <border>
      <left style="medium">
        <color rgb="FFC0C0C0"/>
      </left>
      <right style="medium">
        <color rgb="FFC0C0C0"/>
      </right>
      <bottom style="medium">
        <color rgb="FFC0C0C0"/>
      </bottom>
    </border>
    <border>
      <left style="medium">
        <color rgb="FFC0C0C0"/>
      </left>
      <right style="medium">
        <color rgb="FFC0C0C0"/>
      </right>
      <top style="medium">
        <color rgb="FFC0C0C0"/>
      </top>
      <bottom style="medium">
        <color rgb="FFC0C0C0"/>
      </bottom>
    </border>
    <border>
      <top style="thin">
        <color rgb="FF000000"/>
      </top>
    </border>
    <border>
      <left style="double">
        <color rgb="FF000000"/>
      </left>
      <right style="thin">
        <color rgb="FF000000"/>
      </right>
    </border>
    <border>
      <left style="thin">
        <color rgb="FF000000"/>
      </left>
      <right style="double">
        <color rgb="FF000000"/>
      </right>
    </border>
    <border>
      <left style="thin">
        <color rgb="FF000000"/>
      </left>
      <top style="thin">
        <color rgb="FF000000"/>
      </top>
      <bottom style="thin">
        <color rgb="FF000000"/>
      </bottom>
    </border>
    <border>
      <left style="thin">
        <color rgb="FF000000"/>
      </left>
      <right style="thin">
        <color rgb="FF000000"/>
      </right>
      <bottom style="dotted">
        <color rgb="FF000000"/>
      </bottom>
    </border>
    <border>
      <right style="thin">
        <color rgb="FF000000"/>
      </right>
      <bottom style="dotted">
        <color rgb="FF000000"/>
      </bottom>
    </border>
    <border>
      <left style="thin">
        <color rgb="FF000000"/>
      </left>
      <right style="double">
        <color rgb="FF000000"/>
      </right>
      <bottom style="dotted">
        <color rgb="FF000000"/>
      </bottom>
    </border>
    <border>
      <left style="thin">
        <color rgb="FF000000"/>
      </left>
      <right style="thin">
        <color rgb="FF000000"/>
      </right>
      <bottom style="hair">
        <color rgb="FF000000"/>
      </bottom>
    </border>
    <border>
      <right style="thin">
        <color rgb="FF000000"/>
      </right>
      <bottom style="hair">
        <color rgb="FF000000"/>
      </bottom>
    </border>
    <border>
      <left style="thin">
        <color rgb="FF000000"/>
      </left>
      <right style="thin">
        <color rgb="FF000000"/>
      </right>
      <top style="hair">
        <color rgb="FF000000"/>
      </top>
    </border>
    <border>
      <left style="thin">
        <color rgb="FF000000"/>
      </left>
      <right style="double">
        <color rgb="FF000000"/>
      </right>
      <bottom style="double">
        <color rgb="FF000000"/>
      </bottom>
    </border>
    <border>
      <right style="thin">
        <color rgb="FF000000"/>
      </right>
      <top style="medium">
        <color rgb="FF000000"/>
      </top>
    </border>
    <border>
      <right style="double">
        <color rgb="FF000000"/>
      </right>
      <top style="double">
        <color rgb="FF000000"/>
      </top>
    </border>
    <border>
      <right style="double">
        <color rgb="FF000000"/>
      </right>
      <bottom style="hair">
        <color rgb="FF000000"/>
      </bottom>
    </border>
    <border>
      <right style="thin">
        <color rgb="FF000000"/>
      </right>
      <top style="dotted">
        <color rgb="FF000000"/>
      </top>
    </border>
    <border>
      <right style="thin">
        <color rgb="FF000000"/>
      </right>
      <top style="hair">
        <color rgb="FF000000"/>
      </top>
    </border>
    <border>
      <left style="thin">
        <color rgb="FF000000"/>
      </left>
      <bottom style="thin">
        <color rgb="FF000000"/>
      </bottom>
    </border>
    <border>
      <right style="double">
        <color rgb="FF000000"/>
      </right>
      <top style="dotted">
        <color rgb="FF000000"/>
      </top>
    </border>
    <border>
      <left style="thin">
        <color rgb="FF000000"/>
      </left>
      <top style="thin">
        <color rgb="FF000000"/>
      </top>
    </border>
    <border>
      <left style="medium">
        <color rgb="FF000000"/>
      </left>
      <right style="medium">
        <color rgb="FF000000"/>
      </right>
      <bottom style="medium">
        <color rgb="FF000000"/>
      </bottom>
    </border>
    <border>
      <left style="double">
        <color rgb="FF000000"/>
      </left>
      <right style="double">
        <color rgb="FF000000"/>
      </right>
      <bottom style="double">
        <color rgb="FF000000"/>
      </bottom>
    </border>
    <border>
      <top style="double">
        <color rgb="FF000000"/>
      </top>
      <bottom style="thin">
        <color rgb="FF000000"/>
      </bottom>
    </border>
  </borders>
  <cellStyleXfs count="1">
    <xf borderId="0" fillId="0" fontId="0" numFmtId="0" applyAlignment="1" applyFont="1"/>
  </cellStyleXfs>
  <cellXfs count="1145">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1" fillId="2" fontId="2" numFmtId="0" xfId="0" applyAlignment="1" applyBorder="1" applyFill="1" applyFont="1">
      <alignment horizontal="center" readingOrder="0" shrinkToFit="0" vertical="top" wrapText="1"/>
    </xf>
    <xf borderId="2" fillId="0" fontId="3" numFmtId="0" xfId="0" applyBorder="1" applyFont="1"/>
    <xf borderId="3" fillId="0" fontId="3" numFmtId="0" xfId="0" applyBorder="1" applyFont="1"/>
    <xf borderId="4" fillId="0" fontId="2" numFmtId="0" xfId="0" applyAlignment="1" applyBorder="1" applyFont="1">
      <alignment horizontal="center" readingOrder="0" shrinkToFit="0" vertical="top" wrapText="1"/>
    </xf>
    <xf borderId="4" fillId="0" fontId="3" numFmtId="0" xfId="0" applyBorder="1" applyFont="1"/>
    <xf borderId="5" fillId="3" fontId="2" numFmtId="0" xfId="0" applyAlignment="1" applyBorder="1" applyFill="1" applyFont="1">
      <alignment horizontal="center" readingOrder="0" shrinkToFit="0" vertical="top" wrapText="1"/>
    </xf>
    <xf borderId="6" fillId="0" fontId="3" numFmtId="0" xfId="0" applyBorder="1" applyFont="1"/>
    <xf borderId="7" fillId="0" fontId="3" numFmtId="0" xfId="0" applyBorder="1" applyFont="1"/>
    <xf borderId="0" fillId="3" fontId="2" numFmtId="0" xfId="0" applyAlignment="1" applyFont="1">
      <alignment horizontal="center" shrinkToFit="0" vertical="top" wrapText="1"/>
    </xf>
    <xf borderId="0" fillId="0" fontId="4" numFmtId="0" xfId="0" applyAlignment="1" applyFont="1">
      <alignment shrinkToFit="0" vertical="top" wrapText="1"/>
    </xf>
    <xf borderId="8" fillId="3" fontId="2" numFmtId="0" xfId="0" applyAlignment="1" applyBorder="1" applyFont="1">
      <alignment horizontal="center" shrinkToFit="0" vertical="top" wrapText="1"/>
    </xf>
    <xf borderId="9" fillId="0" fontId="3" numFmtId="0" xfId="0" applyBorder="1" applyFont="1"/>
    <xf borderId="10" fillId="0" fontId="3" numFmtId="0" xfId="0" applyBorder="1" applyFont="1"/>
    <xf borderId="0" fillId="0" fontId="5" numFmtId="0" xfId="0" applyAlignment="1" applyFont="1">
      <alignment shrinkToFit="0" vertical="top" wrapText="1"/>
    </xf>
    <xf borderId="11" fillId="2" fontId="2" numFmtId="0" xfId="0" applyAlignment="1" applyBorder="1" applyFont="1">
      <alignment horizontal="center" shrinkToFit="0" vertical="top" wrapText="1"/>
    </xf>
    <xf borderId="12" fillId="2" fontId="2" numFmtId="0" xfId="0" applyAlignment="1" applyBorder="1" applyFont="1">
      <alignment horizontal="center" shrinkToFit="0" vertical="top" wrapText="1"/>
    </xf>
    <xf borderId="13" fillId="2" fontId="2" numFmtId="0" xfId="0" applyAlignment="1" applyBorder="1" applyFont="1">
      <alignment horizontal="center" shrinkToFit="0" vertical="top" wrapText="1"/>
    </xf>
    <xf borderId="14" fillId="3" fontId="2" numFmtId="0" xfId="0" applyAlignment="1" applyBorder="1" applyFont="1">
      <alignment horizontal="center" shrinkToFit="0" vertical="top" wrapText="1"/>
    </xf>
    <xf borderId="5" fillId="3" fontId="2" numFmtId="0" xfId="0" applyAlignment="1" applyBorder="1" applyFont="1">
      <alignment horizontal="center" shrinkToFit="0" vertical="top" wrapText="1"/>
    </xf>
    <xf borderId="6" fillId="3" fontId="2" numFmtId="0" xfId="0" applyAlignment="1" applyBorder="1" applyFont="1">
      <alignment horizontal="center" shrinkToFit="0" vertical="top" wrapText="1"/>
    </xf>
    <xf borderId="7" fillId="3" fontId="2" numFmtId="0" xfId="0" applyAlignment="1" applyBorder="1" applyFont="1">
      <alignment horizontal="center" shrinkToFit="0" vertical="top" wrapText="1"/>
    </xf>
    <xf borderId="7" fillId="3" fontId="2" numFmtId="0" xfId="0" applyAlignment="1" applyBorder="1" applyFont="1">
      <alignment horizontal="center" readingOrder="0" shrinkToFit="0" vertical="top" wrapText="1"/>
    </xf>
    <xf borderId="15" fillId="2" fontId="2" numFmtId="0" xfId="0" applyAlignment="1" applyBorder="1" applyFont="1">
      <alignment horizontal="center" shrinkToFit="0" vertical="top" wrapText="1"/>
    </xf>
    <xf borderId="15" fillId="3" fontId="6" numFmtId="0" xfId="0" applyAlignment="1" applyBorder="1" applyFont="1">
      <alignment horizontal="center" shrinkToFit="0" vertical="top" wrapText="1"/>
    </xf>
    <xf borderId="16" fillId="4" fontId="2" numFmtId="0" xfId="0" applyAlignment="1" applyBorder="1" applyFill="1" applyFont="1">
      <alignment horizontal="center" shrinkToFit="0" vertical="top" wrapText="1"/>
    </xf>
    <xf borderId="0" fillId="0" fontId="5" numFmtId="0" xfId="0" applyAlignment="1" applyFont="1">
      <alignment horizontal="center"/>
    </xf>
    <xf borderId="17" fillId="2" fontId="6" numFmtId="0" xfId="0" applyAlignment="1" applyBorder="1" applyFont="1">
      <alignment shrinkToFit="0" vertical="top" wrapText="1"/>
    </xf>
    <xf borderId="18" fillId="2" fontId="6" numFmtId="164" xfId="0" applyAlignment="1" applyBorder="1" applyFont="1" applyNumberFormat="1">
      <alignment horizontal="left" readingOrder="0" shrinkToFit="0" vertical="top" wrapText="1"/>
    </xf>
    <xf borderId="18" fillId="2" fontId="6" numFmtId="0" xfId="0" applyAlignment="1" applyBorder="1" applyFont="1">
      <alignment horizontal="left" readingOrder="0" shrinkToFit="0" vertical="top" wrapText="1"/>
    </xf>
    <xf borderId="19" fillId="2" fontId="7" numFmtId="0" xfId="0" applyAlignment="1" applyBorder="1" applyFont="1">
      <alignment horizontal="left" shrinkToFit="0" vertical="top" wrapText="1"/>
    </xf>
    <xf borderId="20" fillId="5" fontId="8" numFmtId="0" xfId="0" applyAlignment="1" applyBorder="1" applyFill="1" applyFont="1">
      <alignment readingOrder="0" shrinkToFit="0" vertical="top" wrapText="1"/>
    </xf>
    <xf borderId="21" fillId="5" fontId="8" numFmtId="0" xfId="0" applyAlignment="1" applyBorder="1" applyFont="1">
      <alignment readingOrder="0" shrinkToFit="0" vertical="top" wrapText="1"/>
    </xf>
    <xf borderId="22" fillId="5" fontId="8" numFmtId="0" xfId="0" applyAlignment="1" applyBorder="1" applyFont="1">
      <alignment readingOrder="0" shrinkToFit="0" vertical="top" wrapText="1"/>
    </xf>
    <xf borderId="22" fillId="5" fontId="7" numFmtId="0" xfId="0" applyAlignment="1" applyBorder="1" applyFont="1">
      <alignment shrinkToFit="0" vertical="top" wrapText="1"/>
    </xf>
    <xf borderId="22" fillId="5" fontId="7" numFmtId="0" xfId="0" applyAlignment="1" applyBorder="1" applyFont="1">
      <alignment readingOrder="0" shrinkToFit="0" vertical="top" wrapText="1"/>
    </xf>
    <xf borderId="22" fillId="2" fontId="9" numFmtId="0" xfId="0" applyAlignment="1" applyBorder="1" applyFont="1">
      <alignment horizontal="center" readingOrder="0" shrinkToFit="0" vertical="top" wrapText="1"/>
    </xf>
    <xf borderId="22" fillId="5" fontId="10" numFmtId="0" xfId="0" applyAlignment="1" applyBorder="1" applyFont="1">
      <alignment shrinkToFit="0" vertical="top" wrapText="1"/>
    </xf>
    <xf borderId="22" fillId="5" fontId="11" numFmtId="0" xfId="0" applyAlignment="1" applyBorder="1" applyFont="1">
      <alignment readingOrder="0" shrinkToFit="0" vertical="top" wrapText="1"/>
    </xf>
    <xf borderId="23" fillId="5" fontId="7" numFmtId="0" xfId="0" applyAlignment="1" applyBorder="1" applyFont="1">
      <alignment shrinkToFit="0" vertical="top" wrapText="1"/>
    </xf>
    <xf borderId="22" fillId="0" fontId="12" numFmtId="0" xfId="0" applyAlignment="1" applyBorder="1" applyFont="1">
      <alignment shrinkToFit="0" wrapText="0"/>
    </xf>
    <xf borderId="22" fillId="0" fontId="12" numFmtId="0" xfId="0" applyAlignment="1" applyBorder="1" applyFont="1">
      <alignment shrinkToFit="0" vertical="top" wrapText="0"/>
    </xf>
    <xf borderId="22" fillId="0" fontId="13" numFmtId="0" xfId="0" applyAlignment="1" applyBorder="1" applyFont="1">
      <alignment shrinkToFit="0" vertical="top" wrapText="0"/>
    </xf>
    <xf borderId="0" fillId="0" fontId="14" numFmtId="0" xfId="0" applyAlignment="1" applyFont="1">
      <alignment shrinkToFit="0" vertical="top" wrapText="0"/>
    </xf>
    <xf borderId="0" fillId="0" fontId="13" numFmtId="0" xfId="0" applyAlignment="1" applyFont="1">
      <alignment shrinkToFit="0" vertical="top" wrapText="0"/>
    </xf>
    <xf borderId="24" fillId="2" fontId="6" numFmtId="0" xfId="0" applyAlignment="1" applyBorder="1" applyFont="1">
      <alignment shrinkToFit="0" vertical="top" wrapText="1"/>
    </xf>
    <xf borderId="22" fillId="2" fontId="7" numFmtId="0" xfId="0" applyAlignment="1" applyBorder="1" applyFont="1">
      <alignment shrinkToFit="0" vertical="top" wrapText="1"/>
    </xf>
    <xf borderId="19" fillId="5" fontId="8" numFmtId="0" xfId="0" applyAlignment="1" applyBorder="1" applyFont="1">
      <alignment readingOrder="0" shrinkToFit="0" vertical="top" wrapText="1"/>
    </xf>
    <xf borderId="18" fillId="5" fontId="8" numFmtId="0" xfId="0" applyAlignment="1" applyBorder="1" applyFont="1">
      <alignment readingOrder="0" shrinkToFit="0" vertical="top" wrapText="1"/>
    </xf>
    <xf borderId="25" fillId="5" fontId="6" numFmtId="0" xfId="0" applyAlignment="1" applyBorder="1" applyFont="1">
      <alignment shrinkToFit="0" vertical="top" wrapText="1"/>
    </xf>
    <xf borderId="19" fillId="0" fontId="12" numFmtId="0" xfId="0" applyAlignment="1" applyBorder="1" applyFont="1">
      <alignment shrinkToFit="0" vertical="top" wrapText="0"/>
    </xf>
    <xf borderId="0" fillId="0" fontId="15" numFmtId="0" xfId="0" applyAlignment="1" applyFont="1">
      <alignment shrinkToFit="0" vertical="top" wrapText="0"/>
    </xf>
    <xf borderId="0" fillId="0" fontId="12" numFmtId="0" xfId="0" applyAlignment="1" applyFont="1">
      <alignment shrinkToFit="0" vertical="top" wrapText="0"/>
    </xf>
    <xf borderId="19" fillId="2" fontId="7" numFmtId="0" xfId="0" applyAlignment="1" applyBorder="1" applyFont="1">
      <alignment shrinkToFit="0" vertical="top" wrapText="1"/>
    </xf>
    <xf borderId="25" fillId="5" fontId="7" numFmtId="0" xfId="0" applyAlignment="1" applyBorder="1" applyFont="1">
      <alignment readingOrder="0" shrinkToFit="0" vertical="top" wrapText="1"/>
    </xf>
    <xf borderId="19" fillId="0" fontId="13" numFmtId="0" xfId="0" applyAlignment="1" applyBorder="1" applyFont="1">
      <alignment shrinkToFit="0" vertical="top" wrapText="0"/>
    </xf>
    <xf borderId="25" fillId="5" fontId="7" numFmtId="0" xfId="0" applyAlignment="1" applyBorder="1" applyFont="1">
      <alignment shrinkToFit="0" vertical="top" wrapText="1"/>
    </xf>
    <xf borderId="18" fillId="2" fontId="6" numFmtId="164" xfId="0" applyAlignment="1" applyBorder="1" applyFont="1" applyNumberFormat="1">
      <alignment horizontal="left" shrinkToFit="0" vertical="top" wrapText="1"/>
    </xf>
    <xf borderId="22" fillId="5" fontId="16" numFmtId="0" xfId="0" applyAlignment="1" applyBorder="1" applyFont="1">
      <alignment readingOrder="0" shrinkToFit="0" vertical="top" wrapText="1"/>
    </xf>
    <xf borderId="22" fillId="5" fontId="17" numFmtId="0" xfId="0" applyAlignment="1" applyBorder="1" applyFont="1">
      <alignment readingOrder="0" shrinkToFit="0" vertical="top" wrapText="1"/>
    </xf>
    <xf borderId="22" fillId="2" fontId="7" numFmtId="0" xfId="0" applyAlignment="1" applyBorder="1" applyFont="1">
      <alignment readingOrder="0" shrinkToFit="0" vertical="top" wrapText="1"/>
    </xf>
    <xf borderId="22" fillId="5" fontId="18" numFmtId="0" xfId="0" applyAlignment="1" applyBorder="1" applyFont="1">
      <alignment readingOrder="0" shrinkToFit="0" vertical="top" wrapText="1"/>
    </xf>
    <xf borderId="22" fillId="5" fontId="19" numFmtId="0" xfId="0" applyAlignment="1" applyBorder="1" applyFont="1">
      <alignment readingOrder="0" shrinkToFit="0" vertical="top" wrapText="1"/>
    </xf>
    <xf borderId="22" fillId="5" fontId="7" numFmtId="0" xfId="0" applyAlignment="1" applyBorder="1" applyFont="1">
      <alignment readingOrder="0" shrinkToFit="0" vertical="top" wrapText="1"/>
    </xf>
    <xf borderId="0" fillId="5" fontId="20" numFmtId="0" xfId="0" applyAlignment="1" applyFont="1">
      <alignment readingOrder="0" shrinkToFit="0" vertical="top" wrapText="1"/>
    </xf>
    <xf borderId="19" fillId="5" fontId="21" numFmtId="0" xfId="0" applyAlignment="1" applyBorder="1" applyFont="1">
      <alignment readingOrder="0" shrinkToFit="0" vertical="top" wrapText="1"/>
    </xf>
    <xf borderId="22" fillId="5" fontId="22" numFmtId="0" xfId="0" applyAlignment="1" applyBorder="1" applyFont="1">
      <alignment readingOrder="0" shrinkToFit="0" vertical="top" wrapText="1"/>
    </xf>
    <xf borderId="22" fillId="5" fontId="23" numFmtId="0" xfId="0" applyAlignment="1" applyBorder="1" applyFont="1">
      <alignment readingOrder="0" shrinkToFit="0" vertical="top" wrapText="1"/>
    </xf>
    <xf borderId="22" fillId="5" fontId="24" numFmtId="0" xfId="0" applyAlignment="1" applyBorder="1" applyFont="1">
      <alignment shrinkToFit="0" vertical="top" wrapText="1"/>
    </xf>
    <xf borderId="25" fillId="5" fontId="6" numFmtId="0" xfId="0" applyAlignment="1" applyBorder="1" applyFont="1">
      <alignment readingOrder="0" shrinkToFit="0" vertical="top" wrapText="1"/>
    </xf>
    <xf borderId="19" fillId="5" fontId="12" numFmtId="0" xfId="0" applyAlignment="1" applyBorder="1" applyFont="1">
      <alignment shrinkToFit="0" vertical="top" wrapText="0"/>
    </xf>
    <xf borderId="22" fillId="5" fontId="21" numFmtId="0" xfId="0" applyAlignment="1" applyBorder="1" applyFont="1">
      <alignment readingOrder="0" shrinkToFit="0" vertical="top" wrapText="1"/>
    </xf>
    <xf borderId="22" fillId="5" fontId="25" numFmtId="0" xfId="0" applyAlignment="1" applyBorder="1" applyFont="1">
      <alignment readingOrder="0" shrinkToFit="0" vertical="top" wrapText="1"/>
    </xf>
    <xf borderId="18" fillId="2" fontId="26" numFmtId="0" xfId="0" applyAlignment="1" applyBorder="1" applyFont="1">
      <alignment horizontal="left" shrinkToFit="0" vertical="top" wrapText="1"/>
    </xf>
    <xf borderId="0" fillId="5" fontId="27" numFmtId="0" xfId="0" applyAlignment="1" applyFont="1">
      <alignment horizontal="left" readingOrder="0" shrinkToFit="0" vertical="top" wrapText="1"/>
    </xf>
    <xf borderId="26" fillId="5" fontId="23" numFmtId="0" xfId="0" applyAlignment="1" applyBorder="1" applyFont="1">
      <alignment readingOrder="0" shrinkToFit="0" vertical="top" wrapText="1"/>
    </xf>
    <xf borderId="25" fillId="5" fontId="28" numFmtId="0" xfId="0" applyAlignment="1" applyBorder="1" applyFont="1">
      <alignment readingOrder="0" shrinkToFit="0" vertical="top" wrapText="1"/>
    </xf>
    <xf borderId="27" fillId="2" fontId="6" numFmtId="0" xfId="0" applyAlignment="1" applyBorder="1" applyFont="1">
      <alignment horizontal="left" shrinkToFit="0" vertical="top" wrapText="1"/>
    </xf>
    <xf borderId="26" fillId="5" fontId="7" numFmtId="0" xfId="0" applyAlignment="1" applyBorder="1" applyFont="1">
      <alignment readingOrder="0" shrinkToFit="0" vertical="top" wrapText="1"/>
    </xf>
    <xf borderId="18" fillId="2" fontId="6" numFmtId="0" xfId="0" applyAlignment="1" applyBorder="1" applyFont="1">
      <alignment horizontal="left" shrinkToFit="0" vertical="top" wrapText="1"/>
    </xf>
    <xf borderId="18" fillId="2" fontId="6" numFmtId="165" xfId="0" applyAlignment="1" applyBorder="1" applyFont="1" applyNumberFormat="1">
      <alignment horizontal="left" shrinkToFit="0" vertical="top" wrapText="1"/>
    </xf>
    <xf borderId="0" fillId="5" fontId="29" numFmtId="0" xfId="0" applyAlignment="1" applyFont="1">
      <alignment readingOrder="0" shrinkToFit="0" vertical="top" wrapText="1"/>
    </xf>
    <xf borderId="0" fillId="5" fontId="30" numFmtId="0" xfId="0" applyAlignment="1" applyFont="1">
      <alignment horizontal="left" readingOrder="0" shrinkToFit="0" vertical="top" wrapText="1"/>
    </xf>
    <xf borderId="22" fillId="5" fontId="31" numFmtId="0" xfId="0" applyAlignment="1" applyBorder="1" applyFont="1">
      <alignment readingOrder="0" shrinkToFit="0" vertical="top" wrapText="1"/>
    </xf>
    <xf borderId="18" fillId="4" fontId="6" numFmtId="164" xfId="0" applyAlignment="1" applyBorder="1" applyFont="1" applyNumberFormat="1">
      <alignment horizontal="left" shrinkToFit="0" vertical="top" wrapText="1"/>
    </xf>
    <xf borderId="18" fillId="4" fontId="6" numFmtId="165" xfId="0" applyAlignment="1" applyBorder="1" applyFont="1" applyNumberFormat="1">
      <alignment horizontal="left" shrinkToFit="0" vertical="top" wrapText="1"/>
    </xf>
    <xf borderId="22" fillId="4" fontId="7" numFmtId="0" xfId="0" applyAlignment="1" applyBorder="1" applyFont="1">
      <alignment shrinkToFit="0" vertical="top" wrapText="1"/>
    </xf>
    <xf borderId="22" fillId="4" fontId="21" numFmtId="0" xfId="0" applyAlignment="1" applyBorder="1" applyFont="1">
      <alignment readingOrder="0" shrinkToFit="0" vertical="top" wrapText="1"/>
    </xf>
    <xf borderId="22" fillId="4" fontId="8" numFmtId="0" xfId="0" applyAlignment="1" applyBorder="1" applyFont="1">
      <alignment readingOrder="0" shrinkToFit="0" vertical="top" wrapText="1"/>
    </xf>
    <xf borderId="0" fillId="4" fontId="8" numFmtId="0" xfId="0" applyAlignment="1" applyFont="1">
      <alignment readingOrder="0" shrinkToFit="0" vertical="top" wrapText="1"/>
    </xf>
    <xf borderId="0" fillId="4" fontId="7" numFmtId="0" xfId="0" applyAlignment="1" applyFont="1">
      <alignment shrinkToFit="0" vertical="top" wrapText="1"/>
    </xf>
    <xf borderId="0" fillId="4" fontId="7" numFmtId="0" xfId="0" applyAlignment="1" applyFont="1">
      <alignment readingOrder="0" shrinkToFit="0" vertical="top" wrapText="1"/>
    </xf>
    <xf borderId="22" fillId="4" fontId="7" numFmtId="0" xfId="0" applyAlignment="1" applyBorder="1" applyFont="1">
      <alignment readingOrder="0" shrinkToFit="0" vertical="top" wrapText="1"/>
    </xf>
    <xf borderId="0" fillId="4" fontId="32" numFmtId="0" xfId="0" applyAlignment="1" applyFont="1">
      <alignment horizontal="left" readingOrder="0" shrinkToFit="0" vertical="top" wrapText="1"/>
    </xf>
    <xf borderId="22" fillId="4" fontId="33" numFmtId="0" xfId="0" applyAlignment="1" applyBorder="1" applyFont="1">
      <alignment horizontal="center" readingOrder="0" shrinkToFit="0" vertical="top" wrapText="1"/>
    </xf>
    <xf borderId="22" fillId="4" fontId="34" numFmtId="0" xfId="0" applyAlignment="1" applyBorder="1" applyFont="1">
      <alignment readingOrder="0" shrinkToFit="0" vertical="top" wrapText="1"/>
    </xf>
    <xf borderId="25" fillId="4" fontId="6" numFmtId="0" xfId="0" applyAlignment="1" applyBorder="1" applyFont="1">
      <alignment readingOrder="0" shrinkToFit="0" vertical="top" wrapText="1"/>
    </xf>
    <xf borderId="0" fillId="2" fontId="7" numFmtId="0" xfId="0" applyAlignment="1" applyFont="1">
      <alignment shrinkToFit="0" vertical="top" wrapText="1"/>
    </xf>
    <xf borderId="19" fillId="0" fontId="35" numFmtId="0" xfId="0" applyAlignment="1" applyBorder="1" applyFont="1">
      <alignment shrinkToFit="0" vertical="top" wrapText="0"/>
    </xf>
    <xf borderId="27" fillId="2" fontId="6" numFmtId="165" xfId="0" applyAlignment="1" applyBorder="1" applyFont="1" applyNumberFormat="1">
      <alignment horizontal="left" shrinkToFit="0" vertical="top" wrapText="1"/>
    </xf>
    <xf borderId="19" fillId="0" fontId="36" numFmtId="0" xfId="0" applyAlignment="1" applyBorder="1" applyFont="1">
      <alignment shrinkToFit="0" vertical="top" wrapText="0"/>
    </xf>
    <xf borderId="0" fillId="0" fontId="37" numFmtId="0" xfId="0" applyAlignment="1" applyFont="1">
      <alignment shrinkToFit="0" vertical="top" wrapText="0"/>
    </xf>
    <xf borderId="0" fillId="0" fontId="35" numFmtId="0" xfId="0" applyAlignment="1" applyFont="1">
      <alignment shrinkToFit="0" vertical="top" wrapText="0"/>
    </xf>
    <xf borderId="0" fillId="0" fontId="38" numFmtId="0" xfId="0" applyAlignment="1" applyFont="1">
      <alignment readingOrder="0"/>
    </xf>
    <xf borderId="0" fillId="0" fontId="39" numFmtId="0" xfId="0" applyAlignment="1" applyFont="1">
      <alignment readingOrder="0" shrinkToFit="0" vertical="top" wrapText="1"/>
    </xf>
    <xf borderId="0" fillId="5" fontId="40" numFmtId="0" xfId="0" applyAlignment="1" applyFont="1">
      <alignment readingOrder="0" shrinkToFit="0" vertical="top" wrapText="1"/>
    </xf>
    <xf borderId="22" fillId="0" fontId="39" numFmtId="0" xfId="0" applyAlignment="1" applyBorder="1" applyFont="1">
      <alignment readingOrder="0" shrinkToFit="0" vertical="top" wrapText="1"/>
    </xf>
    <xf borderId="0" fillId="0" fontId="41" numFmtId="0" xfId="0" applyAlignment="1" applyFont="1">
      <alignment readingOrder="0" shrinkToFit="0" vertical="top" wrapText="1"/>
    </xf>
    <xf borderId="22" fillId="5" fontId="24" numFmtId="0" xfId="0" applyAlignment="1" applyBorder="1" applyFont="1">
      <alignment readingOrder="0" shrinkToFit="0" vertical="top" wrapText="1"/>
    </xf>
    <xf borderId="19" fillId="5" fontId="42" numFmtId="0" xfId="0" applyAlignment="1" applyBorder="1" applyFont="1">
      <alignment shrinkToFit="0" vertical="top" wrapText="0"/>
    </xf>
    <xf borderId="28" fillId="5" fontId="26" numFmtId="0" xfId="0" applyAlignment="1" applyBorder="1" applyFont="1">
      <alignment shrinkToFit="0" vertical="top" wrapText="1"/>
    </xf>
    <xf borderId="0" fillId="0" fontId="21" numFmtId="0" xfId="0" applyAlignment="1" applyFont="1">
      <alignment readingOrder="0" shrinkToFit="0" vertical="top" wrapText="1"/>
    </xf>
    <xf borderId="19" fillId="0" fontId="43" numFmtId="0" xfId="0" applyAlignment="1" applyBorder="1" applyFont="1">
      <alignment shrinkToFit="0" vertical="top" wrapText="0"/>
    </xf>
    <xf borderId="0" fillId="0" fontId="44" numFmtId="0" xfId="0" applyAlignment="1" applyFont="1">
      <alignment shrinkToFit="0" vertical="top" wrapText="0"/>
    </xf>
    <xf borderId="0" fillId="0" fontId="43" numFmtId="0" xfId="0" applyAlignment="1" applyFont="1">
      <alignment shrinkToFit="0" vertical="top" wrapText="0"/>
    </xf>
    <xf borderId="0" fillId="5" fontId="32" numFmtId="0" xfId="0" applyAlignment="1" applyFont="1">
      <alignment horizontal="left" readingOrder="0" shrinkToFit="0" vertical="top" wrapText="1"/>
    </xf>
    <xf borderId="0" fillId="5" fontId="31" numFmtId="0" xfId="0" applyAlignment="1" applyFont="1">
      <alignment readingOrder="0" shrinkToFit="0" vertical="top" wrapText="1"/>
    </xf>
    <xf borderId="0" fillId="5" fontId="45" numFmtId="0" xfId="0" applyAlignment="1" applyFont="1">
      <alignment readingOrder="0" shrinkToFit="0" vertical="top" wrapText="1"/>
    </xf>
    <xf borderId="22" fillId="5" fontId="46" numFmtId="0" xfId="0" applyAlignment="1" applyBorder="1" applyFont="1">
      <alignment horizontal="left" readingOrder="0" vertical="center"/>
    </xf>
    <xf borderId="0" fillId="5" fontId="47" numFmtId="0" xfId="0" applyAlignment="1" applyFont="1">
      <alignment horizontal="left" readingOrder="0" vertical="top"/>
    </xf>
    <xf borderId="19" fillId="0" fontId="12" numFmtId="0" xfId="0" applyAlignment="1" applyBorder="1" applyFont="1">
      <alignment readingOrder="0" shrinkToFit="0" vertical="top" wrapText="0"/>
    </xf>
    <xf borderId="0" fillId="0" fontId="48" numFmtId="0" xfId="0" applyAlignment="1" applyFont="1">
      <alignment readingOrder="0" shrinkToFit="0" vertical="top" wrapText="0"/>
    </xf>
    <xf borderId="0" fillId="0" fontId="12" numFmtId="0" xfId="0" applyAlignment="1" applyFont="1">
      <alignment readingOrder="0" shrinkToFit="0" vertical="top" wrapText="0"/>
    </xf>
    <xf borderId="0" fillId="5" fontId="7" numFmtId="0" xfId="0" applyAlignment="1" applyFont="1">
      <alignment shrinkToFit="0" vertical="top" wrapText="1"/>
    </xf>
    <xf borderId="22" fillId="5" fontId="49" numFmtId="0" xfId="0" applyAlignment="1" applyBorder="1" applyFont="1">
      <alignment shrinkToFit="0" vertical="top" wrapText="1"/>
    </xf>
    <xf borderId="0" fillId="6" fontId="31" numFmtId="0" xfId="0" applyAlignment="1" applyFill="1" applyFont="1">
      <alignment readingOrder="0" shrinkToFit="0" vertical="center" wrapText="0"/>
    </xf>
    <xf borderId="22" fillId="5" fontId="23" numFmtId="0" xfId="0" applyAlignment="1" applyBorder="1" applyFont="1">
      <alignment readingOrder="0" shrinkToFit="0" vertical="center" wrapText="1"/>
    </xf>
    <xf borderId="19" fillId="5" fontId="50" numFmtId="0" xfId="0" applyAlignment="1" applyBorder="1" applyFont="1">
      <alignment shrinkToFit="0" vertical="top" wrapText="0"/>
    </xf>
    <xf borderId="0" fillId="5" fontId="51" numFmtId="0" xfId="0" applyAlignment="1" applyFont="1">
      <alignment shrinkToFit="0" vertical="top" wrapText="0"/>
    </xf>
    <xf borderId="0" fillId="5" fontId="50" numFmtId="0" xfId="0" applyAlignment="1" applyFont="1">
      <alignment shrinkToFit="0" vertical="top" wrapText="0"/>
    </xf>
    <xf borderId="22" fillId="2" fontId="6" numFmtId="0" xfId="0" applyAlignment="1" applyBorder="1" applyFont="1">
      <alignment shrinkToFit="0" vertical="top" wrapText="1"/>
    </xf>
    <xf borderId="27" fillId="2" fontId="6" numFmtId="0" xfId="0" applyAlignment="1" applyBorder="1" applyFont="1">
      <alignment horizontal="left" readingOrder="0" shrinkToFit="0" vertical="top" wrapText="1"/>
    </xf>
    <xf borderId="29" fillId="5" fontId="52" numFmtId="0" xfId="0" applyAlignment="1" applyBorder="1" applyFont="1">
      <alignment readingOrder="0" shrinkToFit="0" vertical="top" wrapText="1"/>
    </xf>
    <xf borderId="29" fillId="5" fontId="53" numFmtId="0" xfId="0" applyAlignment="1" applyBorder="1" applyFont="1">
      <alignment readingOrder="0" shrinkToFit="0" vertical="top" wrapText="1"/>
    </xf>
    <xf borderId="30" fillId="5" fontId="7" numFmtId="0" xfId="0" applyAlignment="1" applyBorder="1" applyFont="1">
      <alignment shrinkToFit="0" vertical="top" wrapText="1"/>
    </xf>
    <xf borderId="22" fillId="2" fontId="6" numFmtId="165" xfId="0" applyAlignment="1" applyBorder="1" applyFont="1" applyNumberFormat="1">
      <alignment horizontal="left" shrinkToFit="0" vertical="top" wrapText="1"/>
    </xf>
    <xf borderId="22" fillId="4" fontId="23" numFmtId="0" xfId="0" applyAlignment="1" applyBorder="1" applyFont="1">
      <alignment readingOrder="0" shrinkToFit="0" vertical="top" wrapText="1"/>
    </xf>
    <xf borderId="28" fillId="5" fontId="7" numFmtId="0" xfId="0" applyAlignment="1" applyBorder="1" applyFont="1">
      <alignment readingOrder="0" shrinkToFit="0" vertical="top" wrapText="1"/>
    </xf>
    <xf borderId="22" fillId="2" fontId="6" numFmtId="0" xfId="0" applyAlignment="1" applyBorder="1" applyFont="1">
      <alignment horizontal="left" shrinkToFit="0" vertical="top" wrapText="1"/>
    </xf>
    <xf borderId="22" fillId="2" fontId="6" numFmtId="0" xfId="0" applyAlignment="1" applyBorder="1" applyFont="1">
      <alignment horizontal="left" readingOrder="0" shrinkToFit="0" vertical="top" wrapText="1"/>
    </xf>
    <xf borderId="28" fillId="5" fontId="7" numFmtId="0" xfId="0" applyAlignment="1" applyBorder="1" applyFont="1">
      <alignment shrinkToFit="0" vertical="top" wrapText="1"/>
    </xf>
    <xf borderId="0" fillId="5" fontId="23" numFmtId="0" xfId="0" applyAlignment="1" applyFont="1">
      <alignment readingOrder="0" shrinkToFit="0" vertical="top" wrapText="1"/>
    </xf>
    <xf borderId="0" fillId="5" fontId="8" numFmtId="0" xfId="0" applyAlignment="1" applyFont="1">
      <alignment readingOrder="0" shrinkToFit="0" vertical="top" wrapText="1"/>
    </xf>
    <xf borderId="29" fillId="5" fontId="54" numFmtId="0" xfId="0" applyAlignment="1" applyBorder="1" applyFont="1">
      <alignment shrinkToFit="0" vertical="top" wrapText="1"/>
    </xf>
    <xf borderId="29" fillId="5" fontId="55" numFmtId="0" xfId="0" applyAlignment="1" applyBorder="1" applyFont="1">
      <alignment shrinkToFit="0" vertical="top" wrapText="1"/>
    </xf>
    <xf borderId="31" fillId="5" fontId="56" numFmtId="0" xfId="0" applyAlignment="1" applyBorder="1" applyFont="1">
      <alignment readingOrder="0" shrinkToFit="0" vertical="top" wrapText="1"/>
    </xf>
    <xf borderId="29" fillId="5" fontId="7" numFmtId="0" xfId="0" applyAlignment="1" applyBorder="1" applyFont="1">
      <alignment shrinkToFit="0" vertical="top" wrapText="1"/>
    </xf>
    <xf borderId="29" fillId="5" fontId="24" numFmtId="0" xfId="0" applyAlignment="1" applyBorder="1" applyFont="1">
      <alignment shrinkToFit="0" vertical="top" wrapText="1"/>
    </xf>
    <xf borderId="31" fillId="5" fontId="7" numFmtId="0" xfId="0" applyAlignment="1" applyBorder="1" applyFont="1">
      <alignment shrinkToFit="0" vertical="top" wrapText="1"/>
    </xf>
    <xf borderId="29" fillId="2" fontId="7" numFmtId="0" xfId="0" applyAlignment="1" applyBorder="1" applyFont="1">
      <alignment shrinkToFit="0" vertical="top" wrapText="1"/>
    </xf>
    <xf borderId="0" fillId="5" fontId="57" numFmtId="0" xfId="0" applyAlignment="1" applyFont="1">
      <alignment readingOrder="0"/>
    </xf>
    <xf borderId="29" fillId="5" fontId="8" numFmtId="0" xfId="0" applyAlignment="1" applyBorder="1" applyFont="1">
      <alignment readingOrder="0" shrinkToFit="0" vertical="top" wrapText="1"/>
    </xf>
    <xf borderId="0" fillId="5" fontId="32" numFmtId="0" xfId="0" applyAlignment="1" applyFont="1">
      <alignment horizontal="left" readingOrder="0" shrinkToFit="0" vertical="top" wrapText="1"/>
    </xf>
    <xf borderId="29" fillId="5" fontId="7" numFmtId="0" xfId="0" applyAlignment="1" applyBorder="1" applyFont="1">
      <alignment readingOrder="0" shrinkToFit="0" vertical="top" wrapText="1"/>
    </xf>
    <xf borderId="0" fillId="0" fontId="58" numFmtId="0" xfId="0" applyAlignment="1" applyFont="1">
      <alignment horizontal="left" readingOrder="0" vertical="top"/>
    </xf>
    <xf borderId="0" fillId="0" fontId="59" numFmtId="0" xfId="0" applyAlignment="1" applyFont="1">
      <alignment readingOrder="0"/>
    </xf>
    <xf borderId="0" fillId="5" fontId="60" numFmtId="0" xfId="0" applyAlignment="1" applyFont="1">
      <alignment horizontal="center" readingOrder="0"/>
    </xf>
    <xf borderId="29" fillId="5" fontId="23" numFmtId="0" xfId="0" applyAlignment="1" applyBorder="1" applyFont="1">
      <alignment readingOrder="0" shrinkToFit="0" vertical="top" wrapText="1"/>
    </xf>
    <xf borderId="29" fillId="5" fontId="61" numFmtId="0" xfId="0" applyAlignment="1" applyBorder="1" applyFont="1">
      <alignment readingOrder="0" shrinkToFit="0" vertical="top" wrapText="1"/>
    </xf>
    <xf borderId="0" fillId="0" fontId="62" numFmtId="0" xfId="0" applyAlignment="1" applyFont="1">
      <alignment readingOrder="0"/>
    </xf>
    <xf borderId="29" fillId="5" fontId="63" numFmtId="0" xfId="0" applyAlignment="1" applyBorder="1" applyFont="1">
      <alignment readingOrder="0" shrinkToFit="0" vertical="top" wrapText="1"/>
    </xf>
    <xf borderId="22" fillId="2" fontId="7" numFmtId="0" xfId="0" applyAlignment="1" applyBorder="1" applyFont="1">
      <alignment horizontal="center" readingOrder="0" shrinkToFit="0" vertical="top" wrapText="1"/>
    </xf>
    <xf borderId="22" fillId="5" fontId="64" numFmtId="0" xfId="0" applyAlignment="1" applyBorder="1" applyFont="1">
      <alignment readingOrder="0" shrinkToFit="0" vertical="top" wrapText="1"/>
    </xf>
    <xf borderId="22" fillId="5" fontId="65" numFmtId="0" xfId="0" applyAlignment="1" applyBorder="1" applyFont="1">
      <alignment readingOrder="0" shrinkToFit="0" vertical="top" wrapText="1"/>
    </xf>
    <xf borderId="0" fillId="0" fontId="4" numFmtId="0" xfId="0" applyFont="1"/>
    <xf borderId="0" fillId="0" fontId="66" numFmtId="0" xfId="0" applyFont="1"/>
    <xf borderId="22" fillId="5" fontId="65" numFmtId="0" xfId="0" applyAlignment="1" applyBorder="1" applyFont="1">
      <alignment shrinkToFit="0" vertical="top" wrapText="1"/>
    </xf>
    <xf borderId="22" fillId="5" fontId="67" numFmtId="0" xfId="0" applyAlignment="1" applyBorder="1" applyFont="1">
      <alignment shrinkToFit="0" vertical="top" wrapText="1"/>
    </xf>
    <xf borderId="22" fillId="2" fontId="23" numFmtId="0" xfId="0" applyAlignment="1" applyBorder="1" applyFont="1">
      <alignment shrinkToFit="0" vertical="top" wrapText="1"/>
    </xf>
    <xf borderId="22" fillId="5" fontId="68" numFmtId="0" xfId="0" applyAlignment="1" applyBorder="1" applyFont="1">
      <alignment shrinkToFit="0" vertical="top" wrapText="1"/>
    </xf>
    <xf borderId="22" fillId="5" fontId="69" numFmtId="0" xfId="0" applyAlignment="1" applyBorder="1" applyFont="1">
      <alignment readingOrder="0" shrinkToFit="0" vertical="top" wrapText="1"/>
    </xf>
    <xf borderId="22" fillId="5" fontId="70" numFmtId="0" xfId="0" applyAlignment="1" applyBorder="1" applyFont="1">
      <alignment readingOrder="0" shrinkToFit="0" vertical="top" wrapText="1"/>
    </xf>
    <xf borderId="28" fillId="5" fontId="5" numFmtId="0" xfId="0" applyAlignment="1" applyBorder="1" applyFont="1">
      <alignment shrinkToFit="0" vertical="top" wrapText="1"/>
    </xf>
    <xf borderId="22" fillId="5" fontId="71" numFmtId="0" xfId="0" applyAlignment="1" applyBorder="1" applyFont="1">
      <alignment readingOrder="0" shrinkToFit="0" vertical="top" wrapText="1"/>
    </xf>
    <xf borderId="22" fillId="5" fontId="23" numFmtId="0" xfId="0" applyAlignment="1" applyBorder="1" applyFont="1">
      <alignment shrinkToFit="0" vertical="top" wrapText="1"/>
    </xf>
    <xf borderId="22" fillId="5" fontId="8" numFmtId="0" xfId="0" applyAlignment="1" applyBorder="1" applyFont="1">
      <alignment shrinkToFit="0" vertical="top" wrapText="1"/>
    </xf>
    <xf borderId="0" fillId="5" fontId="23" numFmtId="0" xfId="0" applyAlignment="1" applyFont="1">
      <alignment shrinkToFit="0" vertical="top" wrapText="1"/>
    </xf>
    <xf borderId="29" fillId="5" fontId="65" numFmtId="0" xfId="0" applyAlignment="1" applyBorder="1" applyFont="1">
      <alignment shrinkToFit="0" vertical="top" wrapText="1"/>
    </xf>
    <xf borderId="22" fillId="2" fontId="26" numFmtId="0" xfId="0" applyAlignment="1" applyBorder="1" applyFont="1">
      <alignment shrinkToFit="0" vertical="top" wrapText="1"/>
    </xf>
    <xf borderId="29" fillId="5" fontId="5" numFmtId="0" xfId="0" applyAlignment="1" applyBorder="1" applyFont="1">
      <alignment shrinkToFit="0" vertical="top" wrapText="1"/>
    </xf>
    <xf borderId="22" fillId="5" fontId="5" numFmtId="0" xfId="0" applyAlignment="1" applyBorder="1" applyFont="1">
      <alignment shrinkToFit="0" vertical="top" wrapText="1"/>
    </xf>
    <xf borderId="18" fillId="2" fontId="26" numFmtId="0" xfId="0" applyAlignment="1" applyBorder="1" applyFont="1">
      <alignment shrinkToFit="0" vertical="top" wrapText="1"/>
    </xf>
    <xf borderId="22" fillId="5" fontId="72" numFmtId="0" xfId="0" applyAlignment="1" applyBorder="1" applyFont="1">
      <alignment shrinkToFit="0" vertical="top" wrapText="1"/>
    </xf>
    <xf borderId="0" fillId="5" fontId="24" numFmtId="0" xfId="0" applyAlignment="1" applyFont="1">
      <alignment shrinkToFit="0" vertical="top" wrapText="1"/>
    </xf>
    <xf borderId="22" fillId="5" fontId="12" numFmtId="0" xfId="0" applyAlignment="1" applyBorder="1" applyFont="1">
      <alignment shrinkToFit="0" vertical="top" wrapText="1"/>
    </xf>
    <xf borderId="0" fillId="5" fontId="5" numFmtId="0" xfId="0" applyAlignment="1" applyFont="1">
      <alignment shrinkToFit="0" vertical="top" wrapText="1"/>
    </xf>
    <xf borderId="0" fillId="5" fontId="12" numFmtId="0" xfId="0" applyAlignment="1" applyFont="1">
      <alignment shrinkToFit="0" vertical="top" wrapText="1"/>
    </xf>
    <xf borderId="0" fillId="5" fontId="73" numFmtId="0" xfId="0" applyAlignment="1" applyFont="1">
      <alignment shrinkToFit="0" vertical="top" wrapText="1"/>
    </xf>
    <xf borderId="22" fillId="5" fontId="74" numFmtId="0" xfId="0" applyAlignment="1" applyBorder="1" applyFont="1">
      <alignment shrinkToFit="0" vertical="top" wrapText="1"/>
    </xf>
    <xf borderId="22" fillId="5" fontId="75" numFmtId="0" xfId="0" applyAlignment="1" applyBorder="1" applyFont="1">
      <alignment shrinkToFit="0" vertical="top" wrapText="1"/>
    </xf>
    <xf borderId="22" fillId="5" fontId="76" numFmtId="0" xfId="0" applyAlignment="1" applyBorder="1" applyFont="1">
      <alignment shrinkToFit="0" vertical="top" wrapText="1"/>
    </xf>
    <xf borderId="22" fillId="5" fontId="77" numFmtId="0" xfId="0" applyAlignment="1" applyBorder="1" applyFont="1">
      <alignment shrinkToFit="0" vertical="top" wrapText="1"/>
    </xf>
    <xf borderId="22" fillId="5" fontId="78" numFmtId="0" xfId="0" applyAlignment="1" applyBorder="1" applyFont="1">
      <alignment shrinkToFit="0" vertical="top" wrapText="1"/>
    </xf>
    <xf borderId="22" fillId="5" fontId="79" numFmtId="0" xfId="0" applyAlignment="1" applyBorder="1" applyFont="1">
      <alignment shrinkToFit="0" vertical="top" wrapText="1"/>
    </xf>
    <xf borderId="32" fillId="2" fontId="6" numFmtId="0" xfId="0" applyAlignment="1" applyBorder="1" applyFont="1">
      <alignment shrinkToFit="0" vertical="top" wrapText="1"/>
    </xf>
    <xf borderId="32" fillId="2" fontId="26" numFmtId="0" xfId="0" applyAlignment="1" applyBorder="1" applyFont="1">
      <alignment shrinkToFit="0" vertical="top" wrapText="1"/>
    </xf>
    <xf borderId="32" fillId="2" fontId="7" numFmtId="0" xfId="0" applyAlignment="1" applyBorder="1" applyFont="1">
      <alignment shrinkToFit="0" vertical="top" wrapText="1"/>
    </xf>
    <xf borderId="32" fillId="5" fontId="12" numFmtId="0" xfId="0" applyAlignment="1" applyBorder="1" applyFont="1">
      <alignment shrinkToFit="0" vertical="top" wrapText="1"/>
    </xf>
    <xf borderId="32" fillId="5" fontId="8" numFmtId="0" xfId="0" applyAlignment="1" applyBorder="1" applyFont="1">
      <alignment shrinkToFit="0" vertical="top" wrapText="1"/>
    </xf>
    <xf borderId="32" fillId="5" fontId="7" numFmtId="0" xfId="0" applyAlignment="1" applyBorder="1" applyFont="1">
      <alignment shrinkToFit="0" vertical="top" wrapText="1"/>
    </xf>
    <xf borderId="32" fillId="5" fontId="5" numFmtId="0" xfId="0" applyAlignment="1" applyBorder="1" applyFont="1">
      <alignment shrinkToFit="0" vertical="top" wrapText="1"/>
    </xf>
    <xf borderId="32" fillId="5" fontId="65" numFmtId="0" xfId="0" applyAlignment="1" applyBorder="1" applyFont="1">
      <alignment shrinkToFit="0" vertical="top" wrapText="1"/>
    </xf>
    <xf borderId="32" fillId="5" fontId="67" numFmtId="0" xfId="0" applyAlignment="1" applyBorder="1" applyFont="1">
      <alignment shrinkToFit="0" vertical="top" wrapText="1"/>
    </xf>
    <xf borderId="33" fillId="5" fontId="5" numFmtId="0" xfId="0" applyAlignment="1" applyBorder="1" applyFont="1">
      <alignment shrinkToFit="0" vertical="top" wrapText="1"/>
    </xf>
    <xf borderId="0" fillId="0" fontId="80" numFmtId="0" xfId="0" applyFont="1"/>
    <xf borderId="0" fillId="0" fontId="5" numFmtId="0" xfId="0" applyAlignment="1" applyFont="1">
      <alignment vertical="center"/>
    </xf>
    <xf borderId="0" fillId="0" fontId="65" numFmtId="0" xfId="0" applyAlignment="1" applyFont="1">
      <alignment shrinkToFit="0" vertical="center" wrapText="1"/>
    </xf>
    <xf borderId="0" fillId="5" fontId="31" numFmtId="0" xfId="0" applyFont="1"/>
    <xf borderId="0" fillId="0" fontId="81" numFmtId="0" xfId="0" applyFont="1"/>
    <xf borderId="0" fillId="0" fontId="82" numFmtId="0" xfId="0" applyAlignment="1" applyFont="1">
      <alignment horizontal="center" shrinkToFit="0" vertical="center" wrapText="0"/>
    </xf>
    <xf borderId="1" fillId="2" fontId="2" numFmtId="0" xfId="0" applyAlignment="1" applyBorder="1" applyFont="1">
      <alignment horizontal="center" readingOrder="0" shrinkToFit="0" vertical="center" wrapText="0"/>
    </xf>
    <xf borderId="4" fillId="0" fontId="2" numFmtId="0" xfId="0" applyAlignment="1" applyBorder="1" applyFont="1">
      <alignment horizontal="center" readingOrder="0" shrinkToFit="0" vertical="center" wrapText="0"/>
    </xf>
    <xf borderId="8" fillId="3" fontId="2" numFmtId="0" xfId="0" applyAlignment="1" applyBorder="1" applyFont="1">
      <alignment horizontal="center" readingOrder="0" shrinkToFit="0" vertical="center" wrapText="0"/>
    </xf>
    <xf borderId="8" fillId="3" fontId="2" numFmtId="0" xfId="0" applyAlignment="1" applyBorder="1" applyFont="1">
      <alignment horizontal="center" shrinkToFit="0" vertical="center" wrapText="0"/>
    </xf>
    <xf borderId="34" fillId="3" fontId="2" numFmtId="0" xfId="0" applyAlignment="1" applyBorder="1" applyFont="1">
      <alignment horizontal="center" shrinkToFit="0" vertical="center" wrapText="1"/>
    </xf>
    <xf borderId="21" fillId="0" fontId="3" numFmtId="0" xfId="0" applyBorder="1" applyFont="1"/>
    <xf borderId="0" fillId="0" fontId="4" numFmtId="0" xfId="0" applyAlignment="1" applyFont="1">
      <alignment horizontal="left" shrinkToFit="0" vertical="top" wrapText="1"/>
    </xf>
    <xf borderId="35" fillId="2" fontId="2" numFmtId="0" xfId="0" applyAlignment="1" applyBorder="1" applyFont="1">
      <alignment horizontal="center" shrinkToFit="0" vertical="center" wrapText="0"/>
    </xf>
    <xf borderId="10" fillId="2" fontId="2" numFmtId="0" xfId="0" applyAlignment="1" applyBorder="1" applyFont="1">
      <alignment horizontal="center" shrinkToFit="0" vertical="center" wrapText="0"/>
    </xf>
    <xf borderId="36" fillId="3" fontId="2" numFmtId="0" xfId="0" applyAlignment="1" applyBorder="1" applyFont="1">
      <alignment horizontal="center" shrinkToFit="0" vertical="center" wrapText="0"/>
    </xf>
    <xf borderId="36" fillId="3" fontId="2" numFmtId="0" xfId="0" applyAlignment="1" applyBorder="1" applyFont="1">
      <alignment horizontal="center" readingOrder="0" shrinkToFit="0" vertical="center" wrapText="0"/>
    </xf>
    <xf borderId="29" fillId="3" fontId="2" numFmtId="0" xfId="0" applyAlignment="1" applyBorder="1" applyFont="1">
      <alignment horizontal="center" shrinkToFit="0" vertical="center" wrapText="0"/>
    </xf>
    <xf borderId="37" fillId="2" fontId="2" numFmtId="0" xfId="0" applyAlignment="1" applyBorder="1" applyFont="1">
      <alignment horizontal="center" shrinkToFit="0" vertical="center" wrapText="1"/>
    </xf>
    <xf borderId="38" fillId="3" fontId="2" numFmtId="0" xfId="0" applyAlignment="1" applyBorder="1" applyFont="1">
      <alignment horizontal="center" shrinkToFit="0" vertical="center" wrapText="0"/>
    </xf>
    <xf borderId="0" fillId="4" fontId="2" numFmtId="0" xfId="0" applyAlignment="1" applyFont="1">
      <alignment horizontal="left" readingOrder="0" shrinkToFit="0" vertical="top" wrapText="1"/>
    </xf>
    <xf borderId="39" fillId="4" fontId="2" numFmtId="0" xfId="0" applyAlignment="1" applyBorder="1" applyFont="1">
      <alignment horizontal="center" shrinkToFit="0" vertical="center" wrapText="0"/>
    </xf>
    <xf borderId="22" fillId="2" fontId="6" numFmtId="0" xfId="0" applyAlignment="1" applyBorder="1" applyFont="1">
      <alignment horizontal="right" shrinkToFit="0" vertical="top" wrapText="0"/>
    </xf>
    <xf borderId="22" fillId="2" fontId="6" numFmtId="164" xfId="0" applyAlignment="1" applyBorder="1" applyFont="1" applyNumberFormat="1">
      <alignment horizontal="left" shrinkToFit="0" vertical="top" wrapText="0"/>
    </xf>
    <xf borderId="22" fillId="2" fontId="6" numFmtId="0" xfId="0" applyAlignment="1" applyBorder="1" applyFont="1">
      <alignment horizontal="left" shrinkToFit="0" vertical="center" wrapText="1"/>
    </xf>
    <xf borderId="27" fillId="0" fontId="7" numFmtId="0" xfId="0" applyAlignment="1" applyBorder="1" applyFont="1">
      <alignment readingOrder="0" vertical="top"/>
    </xf>
    <xf borderId="22" fillId="0" fontId="7" numFmtId="0" xfId="0" applyAlignment="1" applyBorder="1" applyFont="1">
      <alignment horizontal="left" readingOrder="0" shrinkToFit="0" vertical="top" wrapText="1"/>
    </xf>
    <xf borderId="22" fillId="0" fontId="7" numFmtId="0" xfId="0" applyAlignment="1" applyBorder="1" applyFont="1">
      <alignment horizontal="left" shrinkToFit="0" vertical="top" wrapText="1"/>
    </xf>
    <xf borderId="22" fillId="0" fontId="7" numFmtId="0" xfId="0" applyAlignment="1" applyBorder="1" applyFont="1">
      <alignment horizontal="left" readingOrder="0" shrinkToFit="0" vertical="top" wrapText="0"/>
    </xf>
    <xf borderId="22" fillId="5" fontId="7" numFmtId="166" xfId="0" applyAlignment="1" applyBorder="1" applyFont="1" applyNumberFormat="1">
      <alignment horizontal="left" readingOrder="0" shrinkToFit="0" vertical="top" wrapText="1"/>
    </xf>
    <xf borderId="22" fillId="0" fontId="7" numFmtId="0" xfId="0" applyAlignment="1" applyBorder="1" applyFont="1">
      <alignment horizontal="right" shrinkToFit="0" vertical="top" wrapText="1"/>
    </xf>
    <xf borderId="0" fillId="0" fontId="36" numFmtId="0" xfId="0" applyAlignment="1" applyFont="1">
      <alignment horizontal="right" shrinkToFit="0" vertical="top" wrapText="0"/>
    </xf>
    <xf borderId="22" fillId="4" fontId="6" numFmtId="0" xfId="0" applyAlignment="1" applyBorder="1" applyFont="1">
      <alignment horizontal="right" shrinkToFit="0" vertical="top" wrapText="0"/>
    </xf>
    <xf borderId="22" fillId="4" fontId="6" numFmtId="164" xfId="0" applyAlignment="1" applyBorder="1" applyFont="1" applyNumberFormat="1">
      <alignment horizontal="left" shrinkToFit="0" vertical="top" wrapText="0"/>
    </xf>
    <xf borderId="22" fillId="4" fontId="6" numFmtId="0" xfId="0" applyAlignment="1" applyBorder="1" applyFont="1">
      <alignment horizontal="left" shrinkToFit="0" vertical="top" wrapText="1"/>
    </xf>
    <xf borderId="22" fillId="4" fontId="6" numFmtId="0" xfId="0" applyAlignment="1" applyBorder="1" applyFont="1">
      <alignment horizontal="left" shrinkToFit="0" vertical="center" wrapText="1"/>
    </xf>
    <xf borderId="19" fillId="4" fontId="6" numFmtId="0" xfId="0" applyAlignment="1" applyBorder="1" applyFont="1">
      <alignment readingOrder="0" shrinkToFit="0" vertical="top" wrapText="1"/>
    </xf>
    <xf borderId="18" fillId="4" fontId="7" numFmtId="0" xfId="0" applyAlignment="1" applyBorder="1" applyFont="1">
      <alignment readingOrder="0" vertical="top"/>
    </xf>
    <xf borderId="22" fillId="4" fontId="7" numFmtId="0" xfId="0" applyAlignment="1" applyBorder="1" applyFont="1">
      <alignment horizontal="left" readingOrder="0" shrinkToFit="0" vertical="top" wrapText="1"/>
    </xf>
    <xf borderId="22" fillId="4" fontId="7" numFmtId="0" xfId="0" applyAlignment="1" applyBorder="1" applyFont="1">
      <alignment horizontal="left" shrinkToFit="0" vertical="top" wrapText="1"/>
    </xf>
    <xf borderId="22" fillId="4" fontId="7" numFmtId="0" xfId="0" applyAlignment="1" applyBorder="1" applyFont="1">
      <alignment horizontal="left" readingOrder="0" shrinkToFit="0" vertical="top" wrapText="0"/>
    </xf>
    <xf borderId="22" fillId="4" fontId="83" numFmtId="0" xfId="0" applyAlignment="1" applyBorder="1" applyFont="1">
      <alignment horizontal="left" readingOrder="0" shrinkToFit="0" vertical="top" wrapText="1"/>
    </xf>
    <xf borderId="22" fillId="4" fontId="7" numFmtId="166" xfId="0" applyAlignment="1" applyBorder="1" applyFont="1" applyNumberFormat="1">
      <alignment horizontal="left" shrinkToFit="0" vertical="top" wrapText="1"/>
    </xf>
    <xf borderId="22" fillId="4" fontId="80" numFmtId="0" xfId="0" applyAlignment="1" applyBorder="1" applyFont="1">
      <alignment readingOrder="0" shrinkToFit="0" wrapText="1"/>
    </xf>
    <xf borderId="0" fillId="4" fontId="4" numFmtId="166" xfId="0" applyAlignment="1" applyFont="1" applyNumberFormat="1">
      <alignment readingOrder="0"/>
    </xf>
    <xf borderId="22" fillId="4" fontId="84" numFmtId="0" xfId="0" applyAlignment="1" applyBorder="1" applyFont="1">
      <alignment horizontal="left" readingOrder="0" shrinkToFit="0" vertical="top" wrapText="1"/>
    </xf>
    <xf borderId="0" fillId="4" fontId="36" numFmtId="0" xfId="0" applyAlignment="1" applyFont="1">
      <alignment horizontal="right" shrinkToFit="0" vertical="top" wrapText="0"/>
    </xf>
    <xf borderId="19" fillId="4" fontId="85" numFmtId="0" xfId="0" applyAlignment="1" applyBorder="1" applyFont="1">
      <alignment shrinkToFit="0" vertical="top" wrapText="0"/>
    </xf>
    <xf borderId="19" fillId="4" fontId="12" numFmtId="0" xfId="0" applyAlignment="1" applyBorder="1" applyFont="1">
      <alignment shrinkToFit="0" vertical="top" wrapText="0"/>
    </xf>
    <xf borderId="19" fillId="5" fontId="7" numFmtId="0" xfId="0" applyAlignment="1" applyBorder="1" applyFont="1">
      <alignment readingOrder="0" shrinkToFit="0" vertical="top" wrapText="1"/>
    </xf>
    <xf borderId="18" fillId="0" fontId="7" numFmtId="0" xfId="0" applyAlignment="1" applyBorder="1" applyFont="1">
      <alignment readingOrder="0" vertical="top"/>
    </xf>
    <xf borderId="22" fillId="0" fontId="7" numFmtId="0" xfId="0" applyAlignment="1" applyBorder="1" applyFont="1">
      <alignment horizontal="left" shrinkToFit="0" vertical="top" wrapText="0"/>
    </xf>
    <xf borderId="22" fillId="5" fontId="7" numFmtId="166" xfId="0" applyAlignment="1" applyBorder="1" applyFont="1" applyNumberFormat="1">
      <alignment horizontal="left" shrinkToFit="0" vertical="top" wrapText="1"/>
    </xf>
    <xf borderId="22" fillId="0" fontId="86" numFmtId="0" xfId="0" applyAlignment="1" applyBorder="1" applyFont="1">
      <alignment horizontal="left" readingOrder="0" shrinkToFit="0" vertical="top" wrapText="1"/>
    </xf>
    <xf borderId="22" fillId="5" fontId="7" numFmtId="0" xfId="0" applyAlignment="1" applyBorder="1" applyFont="1">
      <alignment horizontal="left" shrinkToFit="0" vertical="top" wrapText="1"/>
    </xf>
    <xf borderId="22" fillId="5" fontId="7" numFmtId="0" xfId="0" applyAlignment="1" applyBorder="1" applyFont="1">
      <alignment horizontal="right" shrinkToFit="0" vertical="top" wrapText="1"/>
    </xf>
    <xf borderId="22" fillId="0" fontId="7" numFmtId="0" xfId="0" applyAlignment="1" applyBorder="1" applyFont="1">
      <alignment horizontal="right" shrinkToFit="0" vertical="top" wrapText="0"/>
    </xf>
    <xf borderId="19" fillId="5" fontId="6" numFmtId="0" xfId="0" applyAlignment="1" applyBorder="1" applyFont="1">
      <alignment readingOrder="0" shrinkToFit="0" vertical="top" wrapText="1"/>
    </xf>
    <xf borderId="22" fillId="0" fontId="87" numFmtId="0" xfId="0" applyAlignment="1" applyBorder="1" applyFont="1">
      <alignment horizontal="left" readingOrder="0" shrinkToFit="0" vertical="top" wrapText="1"/>
    </xf>
    <xf borderId="22" fillId="0" fontId="88" numFmtId="0" xfId="0" applyAlignment="1" applyBorder="1" applyFont="1">
      <alignment horizontal="left" shrinkToFit="0" vertical="top" wrapText="1"/>
    </xf>
    <xf borderId="18" fillId="5" fontId="7" numFmtId="0" xfId="0" applyAlignment="1" applyBorder="1" applyFont="1">
      <alignment readingOrder="0" vertical="top"/>
    </xf>
    <xf borderId="22" fillId="5" fontId="7" numFmtId="0" xfId="0" applyAlignment="1" applyBorder="1" applyFont="1">
      <alignment horizontal="left" readingOrder="0" shrinkToFit="0" vertical="top" wrapText="0"/>
    </xf>
    <xf borderId="22" fillId="5" fontId="7" numFmtId="0" xfId="0" applyAlignment="1" applyBorder="1" applyFont="1">
      <alignment horizontal="left" shrinkToFit="0" vertical="top" wrapText="0"/>
    </xf>
    <xf borderId="22" fillId="5" fontId="7" numFmtId="0" xfId="0" applyAlignment="1" applyBorder="1" applyFont="1">
      <alignment horizontal="left" readingOrder="0" shrinkToFit="0" vertical="top" wrapText="1"/>
    </xf>
    <xf borderId="19" fillId="5" fontId="7" numFmtId="0" xfId="0" applyAlignment="1" applyBorder="1" applyFont="1">
      <alignment readingOrder="0" shrinkToFit="0" vertical="top" wrapText="1"/>
    </xf>
    <xf borderId="0" fillId="5" fontId="89" numFmtId="0" xfId="0" applyAlignment="1" applyFont="1">
      <alignment horizontal="left" readingOrder="0" vertical="top"/>
    </xf>
    <xf borderId="22" fillId="0" fontId="90" numFmtId="0" xfId="0" applyAlignment="1" applyBorder="1" applyFont="1">
      <alignment horizontal="left" readingOrder="0" shrinkToFit="0" vertical="top" wrapText="1"/>
    </xf>
    <xf borderId="22" fillId="0" fontId="7" numFmtId="0" xfId="0" applyAlignment="1" applyBorder="1" applyFont="1">
      <alignment readingOrder="0" vertical="top"/>
    </xf>
    <xf borderId="22" fillId="5" fontId="89" numFmtId="0" xfId="0" applyAlignment="1" applyBorder="1" applyFont="1">
      <alignment horizontal="left" readingOrder="0" vertical="top"/>
    </xf>
    <xf borderId="22" fillId="5" fontId="91" numFmtId="0" xfId="0" applyAlignment="1" applyBorder="1" applyFont="1">
      <alignment horizontal="left" readingOrder="0" shrinkToFit="0" vertical="top" wrapText="1"/>
    </xf>
    <xf borderId="22" fillId="5" fontId="7" numFmtId="0" xfId="0" applyAlignment="1" applyBorder="1" applyFont="1">
      <alignment horizontal="right" shrinkToFit="0" vertical="top" wrapText="0"/>
    </xf>
    <xf borderId="22" fillId="2" fontId="6" numFmtId="0" xfId="0" applyAlignment="1" applyBorder="1" applyFont="1">
      <alignment horizontal="left" readingOrder="0" shrinkToFit="0" vertical="top" wrapText="0"/>
    </xf>
    <xf borderId="22" fillId="2" fontId="6" numFmtId="0" xfId="0" applyAlignment="1" applyBorder="1" applyFont="1">
      <alignment horizontal="left" shrinkToFit="0" vertical="center" wrapText="0"/>
    </xf>
    <xf borderId="22" fillId="5" fontId="7" numFmtId="0" xfId="0" applyAlignment="1" applyBorder="1" applyFont="1">
      <alignment horizontal="left" readingOrder="0" shrinkToFit="0" vertical="top" wrapText="1"/>
    </xf>
    <xf borderId="22" fillId="5" fontId="92" numFmtId="0" xfId="0" applyAlignment="1" applyBorder="1" applyFont="1">
      <alignment readingOrder="0" shrinkToFit="0" vertical="top" wrapText="0"/>
    </xf>
    <xf borderId="0" fillId="0" fontId="5" numFmtId="0" xfId="0" applyAlignment="1" applyFont="1">
      <alignment shrinkToFit="0" wrapText="0"/>
    </xf>
    <xf borderId="22" fillId="2" fontId="6" numFmtId="0" xfId="0" applyAlignment="1" applyBorder="1" applyFont="1">
      <alignment horizontal="left" shrinkToFit="0" vertical="top" wrapText="0"/>
    </xf>
    <xf borderId="22" fillId="5" fontId="7" numFmtId="0" xfId="0" applyAlignment="1" applyBorder="1" applyFont="1">
      <alignment horizontal="left" readingOrder="0" vertical="top"/>
    </xf>
    <xf borderId="22" fillId="5" fontId="7" numFmtId="0" xfId="0" applyAlignment="1" applyBorder="1" applyFont="1">
      <alignment horizontal="left" vertical="top"/>
    </xf>
    <xf borderId="22" fillId="5" fontId="93" numFmtId="0" xfId="0" applyAlignment="1" applyBorder="1" applyFont="1">
      <alignment horizontal="left" shrinkToFit="0" vertical="top" wrapText="1"/>
    </xf>
    <xf borderId="22" fillId="5" fontId="7" numFmtId="0" xfId="0" applyAlignment="1" applyBorder="1" applyFont="1">
      <alignment shrinkToFit="0" vertical="top" wrapText="0"/>
    </xf>
    <xf borderId="22" fillId="5" fontId="94" numFmtId="0" xfId="0" applyAlignment="1" applyBorder="1" applyFont="1">
      <alignment horizontal="left" readingOrder="0" shrinkToFit="0" vertical="top" wrapText="1"/>
    </xf>
    <xf borderId="22" fillId="5" fontId="7" numFmtId="0" xfId="0" applyAlignment="1" applyBorder="1" applyFont="1">
      <alignment readingOrder="0" shrinkToFit="0" vertical="top" wrapText="0"/>
    </xf>
    <xf borderId="22" fillId="2" fontId="6" numFmtId="165" xfId="0" applyAlignment="1" applyBorder="1" applyFont="1" applyNumberFormat="1">
      <alignment horizontal="left" shrinkToFit="0" vertical="top" wrapText="0"/>
    </xf>
    <xf borderId="22" fillId="2" fontId="6" numFmtId="165" xfId="0" applyAlignment="1" applyBorder="1" applyFont="1" applyNumberFormat="1">
      <alignment horizontal="left" shrinkToFit="0" vertical="center" wrapText="0"/>
    </xf>
    <xf borderId="22" fillId="5" fontId="95" numFmtId="0" xfId="0" applyAlignment="1" applyBorder="1" applyFont="1">
      <alignment horizontal="left" readingOrder="0" shrinkToFit="0" vertical="top" wrapText="0"/>
    </xf>
    <xf borderId="22" fillId="5" fontId="93" numFmtId="0" xfId="0" applyAlignment="1" applyBorder="1" applyFont="1">
      <alignment horizontal="left" readingOrder="0" shrinkToFit="0" vertical="top" wrapText="1"/>
    </xf>
    <xf borderId="19" fillId="0" fontId="12" numFmtId="0" xfId="0" applyAlignment="1" applyBorder="1" applyFont="1">
      <alignment horizontal="center" shrinkToFit="0" vertical="top" wrapText="0"/>
    </xf>
    <xf borderId="22" fillId="5" fontId="7" numFmtId="167" xfId="0" applyAlignment="1" applyBorder="1" applyFont="1" applyNumberFormat="1">
      <alignment horizontal="left" shrinkToFit="0" vertical="top" wrapText="1"/>
    </xf>
    <xf borderId="19" fillId="5" fontId="96" numFmtId="0" xfId="0" applyAlignment="1" applyBorder="1" applyFont="1">
      <alignment shrinkToFit="0" vertical="top" wrapText="0"/>
    </xf>
    <xf borderId="19" fillId="5" fontId="97" numFmtId="0" xfId="0" applyAlignment="1" applyBorder="1" applyFont="1">
      <alignment shrinkToFit="0" vertical="top" wrapText="0"/>
    </xf>
    <xf borderId="19" fillId="7" fontId="85" numFmtId="0" xfId="0" applyAlignment="1" applyBorder="1" applyFill="1" applyFont="1">
      <alignment shrinkToFit="0" vertical="top" wrapText="0"/>
    </xf>
    <xf borderId="22" fillId="5" fontId="6" numFmtId="0" xfId="0" applyAlignment="1" applyBorder="1" applyFont="1">
      <alignment horizontal="left" shrinkToFit="0" vertical="top" wrapText="1"/>
    </xf>
    <xf borderId="22" fillId="5" fontId="6" numFmtId="0" xfId="0" applyAlignment="1" applyBorder="1" applyFont="1">
      <alignment shrinkToFit="0" vertical="top" wrapText="1"/>
    </xf>
    <xf borderId="22" fillId="2" fontId="6" numFmtId="165" xfId="0" applyAlignment="1" applyBorder="1" applyFont="1" applyNumberFormat="1">
      <alignment horizontal="left" shrinkToFit="0" vertical="center" wrapText="1"/>
    </xf>
    <xf borderId="22" fillId="5" fontId="6" numFmtId="0" xfId="0" applyAlignment="1" applyBorder="1" applyFont="1">
      <alignment shrinkToFit="0" vertical="top" wrapText="0"/>
    </xf>
    <xf borderId="22" fillId="5" fontId="23" numFmtId="0" xfId="0" applyAlignment="1" applyBorder="1" applyFont="1">
      <alignment horizontal="left" shrinkToFit="0" vertical="top" wrapText="1"/>
    </xf>
    <xf borderId="22" fillId="5" fontId="7" numFmtId="168" xfId="0" applyAlignment="1" applyBorder="1" applyFont="1" applyNumberFormat="1">
      <alignment horizontal="left" shrinkToFit="0" vertical="top" wrapText="1"/>
    </xf>
    <xf borderId="22" fillId="5" fontId="65" numFmtId="0" xfId="0" applyAlignment="1" applyBorder="1" applyFont="1">
      <alignment horizontal="left" shrinkToFit="0" vertical="top" wrapText="1"/>
    </xf>
    <xf borderId="22" fillId="5" fontId="98" numFmtId="0" xfId="0" applyAlignment="1" applyBorder="1" applyFont="1">
      <alignment horizontal="left" shrinkToFit="0" vertical="top" wrapText="1"/>
    </xf>
    <xf borderId="22" fillId="5" fontId="5" numFmtId="0" xfId="0" applyAlignment="1" applyBorder="1" applyFont="1">
      <alignment horizontal="left" shrinkToFit="0" vertical="top" wrapText="1"/>
    </xf>
    <xf borderId="22" fillId="5" fontId="98" numFmtId="0" xfId="0" applyAlignment="1" applyBorder="1" applyFont="1">
      <alignment horizontal="left" vertical="top"/>
    </xf>
    <xf borderId="22" fillId="5" fontId="5" numFmtId="0" xfId="0" applyAlignment="1" applyBorder="1" applyFont="1">
      <alignment horizontal="left" vertical="top"/>
    </xf>
    <xf borderId="22" fillId="5" fontId="65" numFmtId="0" xfId="0" applyAlignment="1" applyBorder="1" applyFont="1">
      <alignment horizontal="left" vertical="top"/>
    </xf>
    <xf borderId="22" fillId="0" fontId="7" numFmtId="0" xfId="0" applyAlignment="1" applyBorder="1" applyFont="1">
      <alignment shrinkToFit="0" vertical="top" wrapText="0"/>
    </xf>
    <xf borderId="22" fillId="2" fontId="6" numFmtId="0" xfId="0" applyAlignment="1" applyBorder="1" applyFont="1">
      <alignment shrinkToFit="0" vertical="top" wrapText="0"/>
    </xf>
    <xf borderId="22" fillId="2" fontId="6" numFmtId="0" xfId="0" applyAlignment="1" applyBorder="1" applyFont="1">
      <alignment shrinkToFit="0" vertical="center" wrapText="0"/>
    </xf>
    <xf borderId="22" fillId="5" fontId="7" numFmtId="167" xfId="0" applyAlignment="1" applyBorder="1" applyFont="1" applyNumberFormat="1">
      <alignment horizontal="left" shrinkToFit="0" vertical="top" wrapText="0"/>
    </xf>
    <xf borderId="22" fillId="2" fontId="2" numFmtId="0" xfId="0" applyAlignment="1" applyBorder="1" applyFont="1">
      <alignment shrinkToFit="0" vertical="top" wrapText="0"/>
    </xf>
    <xf borderId="22" fillId="2" fontId="2" numFmtId="0" xfId="0" applyAlignment="1" applyBorder="1" applyFont="1">
      <alignment shrinkToFit="0" vertical="center" wrapText="0"/>
    </xf>
    <xf borderId="22" fillId="5" fontId="99" numFmtId="0" xfId="0" applyAlignment="1" applyBorder="1" applyFont="1">
      <alignment horizontal="left" shrinkToFit="0" vertical="top" wrapText="1"/>
    </xf>
    <xf borderId="22" fillId="5" fontId="99" numFmtId="0" xfId="0" applyAlignment="1" applyBorder="1" applyFont="1">
      <alignment horizontal="left" shrinkToFit="0" vertical="top" wrapText="0"/>
    </xf>
    <xf borderId="22" fillId="0" fontId="99" numFmtId="0" xfId="0" applyAlignment="1" applyBorder="1" applyFont="1">
      <alignment horizontal="left" shrinkToFit="0" vertical="top" wrapText="0"/>
    </xf>
    <xf borderId="22" fillId="0" fontId="99" numFmtId="0" xfId="0" applyAlignment="1" applyBorder="1" applyFont="1">
      <alignment horizontal="left" shrinkToFit="0" vertical="top" wrapText="1"/>
    </xf>
    <xf borderId="22" fillId="0" fontId="99" numFmtId="0" xfId="0" applyAlignment="1" applyBorder="1" applyFont="1">
      <alignment shrinkToFit="0" vertical="top" wrapText="0"/>
    </xf>
    <xf borderId="22" fillId="2" fontId="26" numFmtId="0" xfId="0" applyAlignment="1" applyBorder="1" applyFont="1">
      <alignment vertical="top"/>
    </xf>
    <xf borderId="22" fillId="2" fontId="26" numFmtId="0" xfId="0" applyAlignment="1" applyBorder="1" applyFont="1">
      <alignment vertical="center"/>
    </xf>
    <xf borderId="22" fillId="0" fontId="5" numFmtId="0" xfId="0" applyAlignment="1" applyBorder="1" applyFont="1">
      <alignment horizontal="left" vertical="top"/>
    </xf>
    <xf borderId="22" fillId="0" fontId="5" numFmtId="0" xfId="0" applyAlignment="1" applyBorder="1" applyFont="1">
      <alignment horizontal="left" shrinkToFit="0" vertical="top" wrapText="1"/>
    </xf>
    <xf borderId="22" fillId="0" fontId="5" numFmtId="0" xfId="0" applyAlignment="1" applyBorder="1" applyFont="1">
      <alignment vertical="top"/>
    </xf>
    <xf borderId="40" fillId="2" fontId="6" numFmtId="164" xfId="0" applyAlignment="1" applyBorder="1" applyFont="1" applyNumberFormat="1">
      <alignment horizontal="left" shrinkToFit="0" vertical="top" wrapText="0"/>
    </xf>
    <xf borderId="40" fillId="2" fontId="26" numFmtId="0" xfId="0" applyAlignment="1" applyBorder="1" applyFont="1">
      <alignment vertical="top"/>
    </xf>
    <xf borderId="40" fillId="2" fontId="26" numFmtId="0" xfId="0" applyAlignment="1" applyBorder="1" applyFont="1">
      <alignment vertical="center"/>
    </xf>
    <xf borderId="40" fillId="5" fontId="5" numFmtId="0" xfId="0" applyAlignment="1" applyBorder="1" applyFont="1">
      <alignment horizontal="left" shrinkToFit="0" vertical="top" wrapText="1"/>
    </xf>
    <xf borderId="40" fillId="5" fontId="5" numFmtId="0" xfId="0" applyAlignment="1" applyBorder="1" applyFont="1">
      <alignment horizontal="left" vertical="top"/>
    </xf>
    <xf borderId="40" fillId="0" fontId="5" numFmtId="0" xfId="0" applyAlignment="1" applyBorder="1" applyFont="1">
      <alignment horizontal="left" vertical="top"/>
    </xf>
    <xf borderId="40" fillId="0" fontId="5" numFmtId="0" xfId="0" applyAlignment="1" applyBorder="1" applyFont="1">
      <alignment horizontal="left" shrinkToFit="0" vertical="top" wrapText="1"/>
    </xf>
    <xf borderId="40" fillId="0" fontId="5" numFmtId="0" xfId="0" applyAlignment="1" applyBorder="1" applyFont="1">
      <alignment vertical="top"/>
    </xf>
    <xf borderId="0" fillId="0" fontId="1" numFmtId="0" xfId="0" applyAlignment="1" applyFont="1">
      <alignment horizontal="center" shrinkToFit="0" vertical="center" wrapText="0"/>
    </xf>
    <xf borderId="4" fillId="0" fontId="100" numFmtId="0" xfId="0" applyAlignment="1" applyBorder="1" applyFont="1">
      <alignment horizontal="center" readingOrder="0" shrinkToFit="0" vertical="center" wrapText="0"/>
    </xf>
    <xf borderId="5" fillId="3" fontId="2" numFmtId="0" xfId="0" applyAlignment="1" applyBorder="1" applyFont="1">
      <alignment horizontal="center" readingOrder="0" shrinkToFit="0" vertical="center" wrapText="0"/>
    </xf>
    <xf borderId="0" fillId="5" fontId="2" numFmtId="0" xfId="0" applyAlignment="1" applyFont="1">
      <alignment horizontal="center" shrinkToFit="0" vertical="center" wrapText="0"/>
    </xf>
    <xf borderId="0" fillId="0" fontId="5" numFmtId="0" xfId="0" applyAlignment="1" applyFont="1">
      <alignment shrinkToFit="0" vertical="center" wrapText="1"/>
    </xf>
    <xf borderId="11" fillId="2" fontId="2" numFmtId="0" xfId="0" applyAlignment="1" applyBorder="1" applyFont="1">
      <alignment horizontal="center" shrinkToFit="0" vertical="center" wrapText="0"/>
    </xf>
    <xf borderId="12" fillId="2" fontId="2" numFmtId="0" xfId="0" applyAlignment="1" applyBorder="1" applyFont="1">
      <alignment horizontal="center" shrinkToFit="0" vertical="center" wrapText="0"/>
    </xf>
    <xf borderId="14" fillId="3" fontId="100" numFmtId="0" xfId="0" applyAlignment="1" applyBorder="1" applyFont="1">
      <alignment horizontal="center" shrinkToFit="0" vertical="center" wrapText="0"/>
    </xf>
    <xf borderId="14" fillId="3" fontId="2" numFmtId="0" xfId="0" applyAlignment="1" applyBorder="1" applyFont="1">
      <alignment horizontal="center" shrinkToFit="0" vertical="center" wrapText="0"/>
    </xf>
    <xf borderId="5" fillId="3" fontId="2" numFmtId="0" xfId="0" applyAlignment="1" applyBorder="1" applyFont="1">
      <alignment horizontal="center" shrinkToFit="0" vertical="center" wrapText="0"/>
    </xf>
    <xf borderId="6" fillId="3" fontId="2" numFmtId="0" xfId="0" applyAlignment="1" applyBorder="1" applyFont="1">
      <alignment horizontal="center" shrinkToFit="0" vertical="center" wrapText="0"/>
    </xf>
    <xf borderId="7" fillId="3" fontId="2" numFmtId="0" xfId="0" applyAlignment="1" applyBorder="1" applyFont="1">
      <alignment horizontal="center" shrinkToFit="0" vertical="center" wrapText="0"/>
    </xf>
    <xf borderId="7" fillId="3" fontId="2" numFmtId="0" xfId="0" applyAlignment="1" applyBorder="1" applyFont="1">
      <alignment horizontal="center" readingOrder="0" shrinkToFit="0" vertical="center" wrapText="0"/>
    </xf>
    <xf borderId="14" fillId="3" fontId="2" numFmtId="0" xfId="0" applyAlignment="1" applyBorder="1" applyFont="1">
      <alignment horizontal="center" shrinkToFit="0" vertical="center" wrapText="1"/>
    </xf>
    <xf borderId="41" fillId="2" fontId="2" numFmtId="0" xfId="0" applyAlignment="1" applyBorder="1" applyFont="1">
      <alignment horizontal="center" shrinkToFit="0" vertical="center" wrapText="1"/>
    </xf>
    <xf borderId="42" fillId="4" fontId="2" numFmtId="0" xfId="0" applyAlignment="1" applyBorder="1" applyFont="1">
      <alignment horizontal="center" shrinkToFit="0" vertical="top" wrapText="1"/>
    </xf>
    <xf borderId="16" fillId="4" fontId="2" numFmtId="0" xfId="0" applyAlignment="1" applyBorder="1" applyFont="1">
      <alignment horizontal="center" shrinkToFit="0" vertical="center" wrapText="1"/>
    </xf>
    <xf borderId="17" fillId="2" fontId="6" numFmtId="0" xfId="0" applyAlignment="1" applyBorder="1" applyFont="1">
      <alignment shrinkToFit="0" vertical="top" wrapText="0"/>
    </xf>
    <xf borderId="18" fillId="2" fontId="6" numFmtId="164" xfId="0" applyAlignment="1" applyBorder="1" applyFont="1" applyNumberFormat="1">
      <alignment horizontal="left" shrinkToFit="0" vertical="top" wrapText="0"/>
    </xf>
    <xf borderId="20" fillId="5" fontId="101" numFmtId="0" xfId="0" applyAlignment="1" applyBorder="1" applyFont="1">
      <alignment readingOrder="0" shrinkToFit="0" vertical="top" wrapText="1"/>
    </xf>
    <xf borderId="19" fillId="5" fontId="7" numFmtId="0" xfId="0" applyAlignment="1" applyBorder="1" applyFont="1">
      <alignment readingOrder="0" shrinkToFit="0" vertical="top" wrapText="0"/>
    </xf>
    <xf borderId="19" fillId="5" fontId="7" numFmtId="0" xfId="0" applyAlignment="1" applyBorder="1" applyFont="1">
      <alignment shrinkToFit="0" vertical="top" wrapText="0"/>
    </xf>
    <xf borderId="37" fillId="2" fontId="102" numFmtId="0" xfId="0" applyAlignment="1" applyBorder="1" applyFont="1">
      <alignment horizontal="center" readingOrder="0" shrinkToFit="0" vertical="top" wrapText="1"/>
    </xf>
    <xf borderId="43" fillId="5" fontId="7" numFmtId="0" xfId="0" applyAlignment="1" applyBorder="1" applyFont="1">
      <alignment shrinkToFit="0" vertical="top" wrapText="1"/>
    </xf>
    <xf borderId="24" fillId="2" fontId="6" numFmtId="0" xfId="0" applyAlignment="1" applyBorder="1" applyFont="1">
      <alignment shrinkToFit="0" vertical="top" wrapText="0"/>
    </xf>
    <xf borderId="18" fillId="2" fontId="6" numFmtId="0" xfId="0" applyAlignment="1" applyBorder="1" applyFont="1">
      <alignment horizontal="left" readingOrder="0" shrinkToFit="0" vertical="top" wrapText="0"/>
    </xf>
    <xf borderId="19" fillId="5" fontId="101" numFmtId="0" xfId="0" applyAlignment="1" applyBorder="1" applyFont="1">
      <alignment readingOrder="0" shrinkToFit="0" vertical="top" wrapText="1"/>
    </xf>
    <xf borderId="43" fillId="5" fontId="6" numFmtId="0" xfId="0" applyAlignment="1" applyBorder="1" applyFont="1">
      <alignment shrinkToFit="0" vertical="top" wrapText="1"/>
    </xf>
    <xf borderId="18" fillId="2" fontId="6" numFmtId="0" xfId="0" applyAlignment="1" applyBorder="1" applyFont="1">
      <alignment horizontal="left" shrinkToFit="0" vertical="top" wrapText="0"/>
    </xf>
    <xf borderId="43" fillId="5" fontId="103" numFmtId="0" xfId="0" applyAlignment="1" applyBorder="1" applyFont="1">
      <alignment readingOrder="0" shrinkToFit="0" vertical="top" wrapText="1"/>
    </xf>
    <xf borderId="25" fillId="5" fontId="104" numFmtId="0" xfId="0" applyAlignment="1" applyBorder="1" applyFont="1">
      <alignment readingOrder="0" shrinkToFit="0" vertical="top" wrapText="1"/>
    </xf>
    <xf borderId="22" fillId="5" fontId="101" numFmtId="0" xfId="0" applyAlignment="1" applyBorder="1" applyFont="1">
      <alignment readingOrder="0" shrinkToFit="0" vertical="top" wrapText="1"/>
    </xf>
    <xf borderId="43" fillId="5" fontId="6" numFmtId="0" xfId="0" applyAlignment="1" applyBorder="1" applyFont="1">
      <alignment readingOrder="0" shrinkToFit="0" vertical="top" wrapText="1"/>
    </xf>
    <xf borderId="18" fillId="2" fontId="6" numFmtId="165" xfId="0" applyAlignment="1" applyBorder="1" applyFont="1" applyNumberFormat="1">
      <alignment horizontal="left" shrinkToFit="0" vertical="top" wrapText="0"/>
    </xf>
    <xf borderId="43" fillId="5" fontId="105" numFmtId="0" xfId="0" applyAlignment="1" applyBorder="1" applyFont="1">
      <alignment horizontal="left" readingOrder="0" shrinkToFit="0" vertical="top" wrapText="1"/>
    </xf>
    <xf borderId="25" fillId="5" fontId="106" numFmtId="0" xfId="0" applyAlignment="1" applyBorder="1" applyFont="1">
      <alignment horizontal="left" readingOrder="0" shrinkToFit="0" vertical="top" wrapText="1"/>
    </xf>
    <xf borderId="43" fillId="5" fontId="7" numFmtId="0" xfId="0" applyAlignment="1" applyBorder="1" applyFont="1">
      <alignment readingOrder="0" shrinkToFit="0" vertical="top" wrapText="1"/>
    </xf>
    <xf borderId="22" fillId="5" fontId="107" numFmtId="0" xfId="0" applyAlignment="1" applyBorder="1" applyFont="1">
      <alignment readingOrder="0" shrinkToFit="0" vertical="top" wrapText="0"/>
    </xf>
    <xf borderId="43" fillId="5" fontId="7" numFmtId="0" xfId="0" applyAlignment="1" applyBorder="1" applyFont="1">
      <alignment readingOrder="0" shrinkToFit="0" vertical="top" wrapText="1"/>
    </xf>
    <xf borderId="25" fillId="5" fontId="108" numFmtId="0" xfId="0" applyAlignment="1" applyBorder="1" applyFont="1">
      <alignment readingOrder="0" shrinkToFit="0" vertical="top" wrapText="1"/>
    </xf>
    <xf borderId="22" fillId="5" fontId="109" numFmtId="0" xfId="0" applyAlignment="1" applyBorder="1" applyFont="1">
      <alignment readingOrder="0" shrinkToFit="0" vertical="top" wrapText="1"/>
    </xf>
    <xf borderId="18" fillId="4" fontId="6" numFmtId="164" xfId="0" applyAlignment="1" applyBorder="1" applyFont="1" applyNumberFormat="1">
      <alignment horizontal="left" shrinkToFit="0" vertical="top" wrapText="0"/>
    </xf>
    <xf borderId="18" fillId="4" fontId="6" numFmtId="165" xfId="0" applyAlignment="1" applyBorder="1" applyFont="1" applyNumberFormat="1">
      <alignment horizontal="left" shrinkToFit="0" vertical="top" wrapText="0"/>
    </xf>
    <xf borderId="22" fillId="4" fontId="109" numFmtId="0" xfId="0" applyAlignment="1" applyBorder="1" applyFont="1">
      <alignment readingOrder="0" shrinkToFit="0" vertical="top" wrapText="1"/>
    </xf>
    <xf borderId="22" fillId="4" fontId="7" numFmtId="0" xfId="0" applyAlignment="1" applyBorder="1" applyFont="1">
      <alignment readingOrder="0" shrinkToFit="0" vertical="top" wrapText="0"/>
    </xf>
    <xf borderId="22" fillId="4" fontId="110" numFmtId="0" xfId="0" applyAlignment="1" applyBorder="1" applyFont="1">
      <alignment readingOrder="0" shrinkToFit="0" vertical="top" wrapText="0"/>
    </xf>
    <xf borderId="37" fillId="4" fontId="111" numFmtId="0" xfId="0" applyAlignment="1" applyBorder="1" applyFont="1">
      <alignment horizontal="center" readingOrder="0" shrinkToFit="0" vertical="top" wrapText="1"/>
    </xf>
    <xf borderId="43" fillId="4" fontId="112" numFmtId="0" xfId="0" applyAlignment="1" applyBorder="1" applyFont="1">
      <alignment readingOrder="0" shrinkToFit="0" vertical="top" wrapText="1"/>
    </xf>
    <xf borderId="22" fillId="5" fontId="109" numFmtId="0" xfId="0" applyAlignment="1" applyBorder="1" applyFont="1">
      <alignment shrinkToFit="0" vertical="top" wrapText="1"/>
    </xf>
    <xf borderId="22" fillId="5" fontId="107" numFmtId="0" xfId="0" applyAlignment="1" applyBorder="1" applyFont="1">
      <alignment shrinkToFit="0" vertical="top" wrapText="0"/>
    </xf>
    <xf borderId="18" fillId="2" fontId="26" numFmtId="0" xfId="0" applyAlignment="1" applyBorder="1" applyFont="1">
      <alignment horizontal="left" vertical="top"/>
    </xf>
    <xf borderId="27" fillId="2" fontId="6" numFmtId="0" xfId="0" applyAlignment="1" applyBorder="1" applyFont="1">
      <alignment horizontal="left" shrinkToFit="0" vertical="top" wrapText="0"/>
    </xf>
    <xf borderId="0" fillId="5" fontId="109" numFmtId="0" xfId="0" applyAlignment="1" applyFont="1">
      <alignment shrinkToFit="0" vertical="top" wrapText="1"/>
    </xf>
    <xf borderId="27" fillId="2" fontId="6" numFmtId="165" xfId="0" applyAlignment="1" applyBorder="1" applyFont="1" applyNumberFormat="1">
      <alignment horizontal="left" shrinkToFit="0" vertical="top" wrapText="0"/>
    </xf>
    <xf borderId="0" fillId="0" fontId="109" numFmtId="0" xfId="0" applyFont="1"/>
    <xf borderId="43" fillId="5" fontId="26" numFmtId="0" xfId="0" applyAlignment="1" applyBorder="1" applyFont="1">
      <alignment shrinkToFit="0" vertical="top" wrapText="1"/>
    </xf>
    <xf borderId="22" fillId="5" fontId="5" numFmtId="0" xfId="0" applyAlignment="1" applyBorder="1" applyFont="1">
      <alignment vertical="top"/>
    </xf>
    <xf borderId="18" fillId="0" fontId="109" numFmtId="0" xfId="0" applyBorder="1" applyFont="1"/>
    <xf borderId="0" fillId="0" fontId="5" numFmtId="0" xfId="0" applyAlignment="1" applyFont="1">
      <alignment readingOrder="0" vertical="center"/>
    </xf>
    <xf borderId="0" fillId="0" fontId="4" numFmtId="0" xfId="0" applyAlignment="1" applyFont="1">
      <alignment shrinkToFit="0" wrapText="1"/>
    </xf>
    <xf borderId="0" fillId="4" fontId="113" numFmtId="0" xfId="0" applyAlignment="1" applyFont="1">
      <alignment horizontal="center" readingOrder="0" shrinkToFit="0" vertical="center" wrapText="0"/>
    </xf>
    <xf borderId="0" fillId="0" fontId="1" numFmtId="0" xfId="0" applyAlignment="1" applyFont="1">
      <alignment horizontal="center" readingOrder="0" shrinkToFit="0" vertical="center" wrapText="0"/>
    </xf>
    <xf borderId="0" fillId="0" fontId="2" numFmtId="0" xfId="0" applyAlignment="1" applyFont="1">
      <alignment horizontal="center" shrinkToFit="0" vertical="center" wrapText="0"/>
    </xf>
    <xf borderId="8" fillId="3" fontId="2" numFmtId="0" xfId="0" applyAlignment="1" applyBorder="1" applyFont="1">
      <alignment horizontal="center" shrinkToFit="0" vertical="center" wrapText="1"/>
    </xf>
    <xf borderId="29" fillId="3" fontId="4" numFmtId="0" xfId="0" applyAlignment="1" applyBorder="1" applyFont="1">
      <alignment readingOrder="0" shrinkToFit="0" wrapText="1"/>
    </xf>
    <xf borderId="37" fillId="3" fontId="2" numFmtId="0" xfId="0" applyAlignment="1" applyBorder="1" applyFont="1">
      <alignment horizontal="center" shrinkToFit="0" vertical="center" wrapText="1"/>
    </xf>
    <xf borderId="38" fillId="3" fontId="2" numFmtId="0" xfId="0" applyAlignment="1" applyBorder="1" applyFont="1">
      <alignment horizontal="center" shrinkToFit="0" vertical="top" wrapText="1"/>
    </xf>
    <xf borderId="19" fillId="0" fontId="3" numFmtId="0" xfId="0" applyBorder="1" applyFont="1"/>
    <xf borderId="39" fillId="4" fontId="2" numFmtId="0" xfId="0" applyAlignment="1" applyBorder="1" applyFont="1">
      <alignment horizontal="center" shrinkToFit="0" vertical="center" wrapText="1"/>
    </xf>
    <xf borderId="22" fillId="2" fontId="6" numFmtId="0" xfId="0" applyAlignment="1" applyBorder="1" applyFont="1">
      <alignment horizontal="center" shrinkToFit="0" vertical="top" wrapText="0"/>
    </xf>
    <xf borderId="22" fillId="5" fontId="99" numFmtId="0" xfId="0" applyAlignment="1" applyBorder="1" applyFont="1">
      <alignment horizontal="left" readingOrder="0" shrinkToFit="0" vertical="top" wrapText="0"/>
    </xf>
    <xf borderId="22" fillId="5" fontId="7" numFmtId="169" xfId="0" applyAlignment="1" applyBorder="1" applyFont="1" applyNumberFormat="1">
      <alignment horizontal="left" readingOrder="0" shrinkToFit="0" vertical="top" wrapText="1"/>
    </xf>
    <xf borderId="22" fillId="5" fontId="7" numFmtId="170" xfId="0" applyAlignment="1" applyBorder="1" applyFont="1" applyNumberFormat="1">
      <alignment horizontal="right" readingOrder="0" shrinkToFit="0" vertical="center" wrapText="0"/>
    </xf>
    <xf borderId="22" fillId="5" fontId="107" numFmtId="0" xfId="0" applyAlignment="1" applyBorder="1" applyFont="1">
      <alignment horizontal="left" readingOrder="0" shrinkToFit="0" vertical="top" wrapText="1"/>
    </xf>
    <xf borderId="22" fillId="5" fontId="5" numFmtId="0" xfId="0" applyAlignment="1" applyBorder="1" applyFont="1">
      <alignment horizontal="left" readingOrder="0" vertical="top"/>
    </xf>
    <xf borderId="22" fillId="5" fontId="36" numFmtId="0" xfId="0" applyAlignment="1" applyBorder="1" applyFont="1">
      <alignment shrinkToFit="0" vertical="center" wrapText="1"/>
    </xf>
    <xf borderId="22" fillId="0" fontId="4" numFmtId="0" xfId="0" applyBorder="1" applyFont="1"/>
    <xf borderId="22" fillId="5" fontId="114" numFmtId="0" xfId="0" applyAlignment="1" applyBorder="1" applyFont="1">
      <alignment horizontal="left" readingOrder="0" shrinkToFit="0" vertical="top" wrapText="0"/>
    </xf>
    <xf borderId="22" fillId="0" fontId="23" numFmtId="0" xfId="0" applyAlignment="1" applyBorder="1" applyFont="1">
      <alignment readingOrder="0" shrinkToFit="0" vertical="top" wrapText="1"/>
    </xf>
    <xf borderId="22" fillId="5" fontId="7" numFmtId="169" xfId="0" applyAlignment="1" applyBorder="1" applyFont="1" applyNumberFormat="1">
      <alignment horizontal="left" shrinkToFit="0" vertical="top" wrapText="1"/>
    </xf>
    <xf borderId="22" fillId="5" fontId="36" numFmtId="0" xfId="0" applyAlignment="1" applyBorder="1" applyFont="1">
      <alignment readingOrder="0" shrinkToFit="0" vertical="center" wrapText="1"/>
    </xf>
    <xf borderId="0" fillId="0" fontId="7" numFmtId="0" xfId="0" applyAlignment="1" applyFont="1">
      <alignment readingOrder="0" shrinkToFit="0" vertical="top" wrapText="1"/>
    </xf>
    <xf borderId="0" fillId="0" fontId="107" numFmtId="0" xfId="0" applyAlignment="1" applyFont="1">
      <alignment readingOrder="0" shrinkToFit="0" wrapText="1"/>
    </xf>
    <xf borderId="22" fillId="5" fontId="23" numFmtId="0" xfId="0" applyAlignment="1" applyBorder="1" applyFont="1">
      <alignment horizontal="left" readingOrder="0" shrinkToFit="0" vertical="top" wrapText="1"/>
    </xf>
    <xf borderId="22" fillId="0" fontId="115" numFmtId="170" xfId="0" applyAlignment="1" applyBorder="1" applyFont="1" applyNumberFormat="1">
      <alignment horizontal="right" readingOrder="0" vertical="center"/>
    </xf>
    <xf borderId="22" fillId="5" fontId="36" numFmtId="0" xfId="0" applyAlignment="1" applyBorder="1" applyFont="1">
      <alignment readingOrder="0" shrinkToFit="0" vertical="center" wrapText="1"/>
    </xf>
    <xf borderId="22" fillId="5" fontId="116" numFmtId="0" xfId="0" applyAlignment="1" applyBorder="1" applyFont="1">
      <alignment readingOrder="0" shrinkToFit="0" vertical="center" wrapText="1"/>
    </xf>
    <xf borderId="22" fillId="0" fontId="4" numFmtId="0" xfId="0" applyAlignment="1" applyBorder="1" applyFont="1">
      <alignment readingOrder="0"/>
    </xf>
    <xf borderId="22" fillId="0" fontId="23" numFmtId="0" xfId="0" applyAlignment="1" applyBorder="1" applyFont="1">
      <alignment shrinkToFit="0" vertical="top" wrapText="1"/>
    </xf>
    <xf borderId="22" fillId="0" fontId="7" numFmtId="0" xfId="0" applyAlignment="1" applyBorder="1" applyFont="1">
      <alignment shrinkToFit="0" vertical="bottom" wrapText="1"/>
    </xf>
    <xf borderId="22" fillId="0" fontId="7" numFmtId="171" xfId="0" applyAlignment="1" applyBorder="1" applyFont="1" applyNumberFormat="1">
      <alignment horizontal="right" shrinkToFit="0" vertical="bottom" wrapText="1"/>
    </xf>
    <xf borderId="22" fillId="0" fontId="31" numFmtId="0" xfId="0" applyAlignment="1" applyBorder="1" applyFont="1">
      <alignment readingOrder="0" shrinkToFit="0" vertical="top" wrapText="1"/>
    </xf>
    <xf borderId="22" fillId="5" fontId="7" numFmtId="170" xfId="0" applyAlignment="1" applyBorder="1" applyFont="1" applyNumberFormat="1">
      <alignment horizontal="right" shrinkToFit="0" vertical="center" wrapText="0"/>
    </xf>
    <xf borderId="22" fillId="5" fontId="117" numFmtId="0" xfId="0" applyAlignment="1" applyBorder="1" applyFont="1">
      <alignment readingOrder="0" shrinkToFit="0" vertical="center" wrapText="1"/>
    </xf>
    <xf borderId="22" fillId="8" fontId="36" numFmtId="0" xfId="0" applyAlignment="1" applyBorder="1" applyFill="1" applyFont="1">
      <alignment readingOrder="0" shrinkToFit="0" vertical="center" wrapText="1"/>
    </xf>
    <xf borderId="22" fillId="5" fontId="118" numFmtId="0" xfId="0" applyAlignment="1" applyBorder="1" applyFont="1">
      <alignment readingOrder="0" shrinkToFit="0" vertical="center" wrapText="1"/>
    </xf>
    <xf borderId="22" fillId="5" fontId="119" numFmtId="0" xfId="0" applyAlignment="1" applyBorder="1" applyFont="1">
      <alignment readingOrder="0" shrinkToFit="0" vertical="center" wrapText="1"/>
    </xf>
    <xf borderId="22" fillId="5" fontId="7" numFmtId="170" xfId="0" applyAlignment="1" applyBorder="1" applyFont="1" applyNumberFormat="1">
      <alignment horizontal="right" readingOrder="0" shrinkToFit="0" vertical="top" wrapText="0"/>
    </xf>
    <xf borderId="24" fillId="2" fontId="6" numFmtId="0" xfId="0" applyAlignment="1" applyBorder="1" applyFont="1">
      <alignment horizontal="center" shrinkToFit="0" vertical="top" wrapText="0"/>
    </xf>
    <xf quotePrefix="1" borderId="22" fillId="5" fontId="7" numFmtId="0" xfId="0" applyAlignment="1" applyBorder="1" applyFont="1">
      <alignment horizontal="left" readingOrder="0" shrinkToFit="0" vertical="top" wrapText="1"/>
    </xf>
    <xf borderId="38" fillId="2" fontId="120" numFmtId="0" xfId="0" applyAlignment="1" applyBorder="1" applyFont="1">
      <alignment horizontal="center" readingOrder="0" shrinkToFit="0" vertical="top" wrapText="1"/>
    </xf>
    <xf borderId="22" fillId="5" fontId="118" numFmtId="0" xfId="0" applyAlignment="1" applyBorder="1" applyFont="1">
      <alignment readingOrder="0" shrinkToFit="0" vertical="top" wrapText="1"/>
    </xf>
    <xf borderId="44" fillId="5" fontId="118" numFmtId="0" xfId="0" applyAlignment="1" applyBorder="1" applyFont="1">
      <alignment readingOrder="0" shrinkToFit="0" vertical="top" wrapText="1"/>
    </xf>
    <xf borderId="22" fillId="5" fontId="5" numFmtId="0" xfId="0" applyAlignment="1" applyBorder="1" applyFont="1">
      <alignment shrinkToFit="0" wrapText="1"/>
    </xf>
    <xf borderId="44" fillId="5" fontId="5" numFmtId="0" xfId="0" applyAlignment="1" applyBorder="1" applyFont="1">
      <alignment shrinkToFit="0" wrapText="1"/>
    </xf>
    <xf borderId="22" fillId="5" fontId="26" numFmtId="0" xfId="0" applyAlignment="1" applyBorder="1" applyFont="1">
      <alignment shrinkToFit="0" wrapText="1"/>
    </xf>
    <xf borderId="44" fillId="5" fontId="26" numFmtId="0" xfId="0" applyAlignment="1" applyBorder="1" applyFont="1">
      <alignment shrinkToFit="0" wrapText="1"/>
    </xf>
    <xf borderId="15" fillId="5" fontId="7" numFmtId="0" xfId="0" applyAlignment="1" applyBorder="1" applyFont="1">
      <alignment horizontal="left" shrinkToFit="0" vertical="top" wrapText="1"/>
    </xf>
    <xf borderId="15" fillId="5" fontId="7" numFmtId="0" xfId="0" applyAlignment="1" applyBorder="1" applyFont="1">
      <alignment horizontal="left" shrinkToFit="0" vertical="top" wrapText="0"/>
    </xf>
    <xf borderId="15" fillId="5" fontId="7" numFmtId="169" xfId="0" applyAlignment="1" applyBorder="1" applyFont="1" applyNumberFormat="1">
      <alignment horizontal="left" shrinkToFit="0" vertical="top" wrapText="1"/>
    </xf>
    <xf borderId="15" fillId="5" fontId="7" numFmtId="170" xfId="0" applyAlignment="1" applyBorder="1" applyFont="1" applyNumberFormat="1">
      <alignment horizontal="right" shrinkToFit="0" vertical="center" wrapText="0"/>
    </xf>
    <xf borderId="15" fillId="5" fontId="5" numFmtId="0" xfId="0" applyAlignment="1" applyBorder="1" applyFont="1">
      <alignment horizontal="left" vertical="top"/>
    </xf>
    <xf borderId="45" fillId="5" fontId="5" numFmtId="0" xfId="0" applyAlignment="1" applyBorder="1" applyFont="1">
      <alignment shrinkToFit="0" wrapText="1"/>
    </xf>
    <xf borderId="46" fillId="5" fontId="5" numFmtId="0" xfId="0" applyAlignment="1" applyBorder="1" applyFont="1">
      <alignment shrinkToFit="0" wrapText="1"/>
    </xf>
    <xf borderId="0" fillId="0" fontId="7" numFmtId="0" xfId="0" applyAlignment="1" applyFont="1">
      <alignment shrinkToFit="0" vertical="bottom" wrapText="0"/>
    </xf>
    <xf borderId="0" fillId="0" fontId="7" numFmtId="169" xfId="0" applyAlignment="1" applyFont="1" applyNumberFormat="1">
      <alignment shrinkToFit="0" vertical="bottom" wrapText="0"/>
    </xf>
    <xf borderId="0" fillId="4" fontId="121" numFmtId="170" xfId="0" applyAlignment="1" applyFont="1" applyNumberFormat="1">
      <alignment shrinkToFit="0" vertical="center" wrapText="0"/>
    </xf>
    <xf borderId="47" fillId="0" fontId="2" numFmtId="0" xfId="0" applyAlignment="1" applyBorder="1" applyFont="1">
      <alignment horizontal="center" shrinkToFit="0" vertical="center" wrapText="0"/>
    </xf>
    <xf borderId="48" fillId="0" fontId="3" numFmtId="0" xfId="0" applyBorder="1" applyFont="1"/>
    <xf borderId="0" fillId="0" fontId="122" numFmtId="169" xfId="0" applyAlignment="1" applyFont="1" applyNumberFormat="1">
      <alignment shrinkToFit="0" vertical="bottom" wrapText="0"/>
    </xf>
    <xf borderId="0" fillId="0" fontId="26" numFmtId="0" xfId="0" applyFont="1"/>
    <xf borderId="0" fillId="0" fontId="1" numFmtId="0" xfId="0" applyAlignment="1" applyFont="1">
      <alignment shrinkToFit="0" vertical="center" wrapText="0"/>
    </xf>
    <xf borderId="4" fillId="0" fontId="122" numFmtId="0" xfId="0" applyAlignment="1" applyBorder="1" applyFont="1">
      <alignment horizontal="center" readingOrder="0" shrinkToFit="0" vertical="center" wrapText="0"/>
    </xf>
    <xf borderId="4" fillId="0" fontId="2" numFmtId="0" xfId="0" applyAlignment="1" applyBorder="1" applyFont="1">
      <alignment horizontal="center" shrinkToFit="0" vertical="center" wrapText="1"/>
    </xf>
    <xf borderId="4" fillId="0" fontId="2" numFmtId="0" xfId="0" applyAlignment="1" applyBorder="1" applyFont="1">
      <alignment horizontal="center" shrinkToFit="0" vertical="center" wrapText="0"/>
    </xf>
    <xf borderId="0" fillId="0" fontId="118" numFmtId="0" xfId="0" applyAlignment="1" applyFont="1">
      <alignment horizontal="center" vertical="center"/>
    </xf>
    <xf borderId="5" fillId="3" fontId="2" numFmtId="0" xfId="0" applyAlignment="1" applyBorder="1" applyFont="1">
      <alignment horizontal="center" shrinkToFit="0" vertical="center" wrapText="1"/>
    </xf>
    <xf borderId="0" fillId="0" fontId="4" numFmtId="0" xfId="0" applyAlignment="1" applyFont="1">
      <alignment horizontal="center" vertical="center"/>
    </xf>
    <xf borderId="0" fillId="0" fontId="118" numFmtId="0" xfId="0" applyFont="1"/>
    <xf borderId="49" fillId="2" fontId="2" numFmtId="0" xfId="0" applyAlignment="1" applyBorder="1" applyFont="1">
      <alignment horizontal="center" shrinkToFit="0" vertical="center" wrapText="1"/>
    </xf>
    <xf borderId="7" fillId="2" fontId="2" numFmtId="0" xfId="0" applyAlignment="1" applyBorder="1" applyFont="1">
      <alignment horizontal="center" shrinkToFit="0" vertical="center" wrapText="1"/>
    </xf>
    <xf borderId="7" fillId="2" fontId="2" numFmtId="0" xfId="0" applyAlignment="1" applyBorder="1" applyFont="1">
      <alignment horizontal="center" shrinkToFit="0" vertical="center" wrapText="0"/>
    </xf>
    <xf borderId="14" fillId="3" fontId="122" numFmtId="0" xfId="0" applyAlignment="1" applyBorder="1" applyFont="1">
      <alignment horizontal="center" readingOrder="0" shrinkToFit="0" vertical="center" wrapText="1"/>
    </xf>
    <xf borderId="14" fillId="2" fontId="2" numFmtId="0" xfId="0" applyAlignment="1" applyBorder="1" applyFont="1">
      <alignment horizontal="center" shrinkToFit="0" vertical="center" wrapText="1"/>
    </xf>
    <xf borderId="7" fillId="3" fontId="2" numFmtId="0" xfId="0" applyAlignment="1" applyBorder="1" applyFont="1">
      <alignment horizontal="center" shrinkToFit="0" vertical="center" wrapText="1"/>
    </xf>
    <xf borderId="6" fillId="4" fontId="2" numFmtId="0" xfId="0" applyAlignment="1" applyBorder="1" applyFont="1">
      <alignment horizontal="center" readingOrder="0" shrinkToFit="0" vertical="center" wrapText="1"/>
    </xf>
    <xf borderId="48" fillId="4" fontId="2" numFmtId="0" xfId="0" applyAlignment="1" applyBorder="1" applyFont="1">
      <alignment horizontal="center" shrinkToFit="0" vertical="center" wrapText="1"/>
    </xf>
    <xf borderId="50" fillId="2" fontId="2" numFmtId="0" xfId="0" applyAlignment="1" applyBorder="1" applyFont="1">
      <alignment horizontal="left" shrinkToFit="0" vertical="top" wrapText="1"/>
    </xf>
    <xf borderId="51" fillId="2" fontId="2" numFmtId="0" xfId="0" applyAlignment="1" applyBorder="1" applyFont="1">
      <alignment horizontal="left" readingOrder="0" shrinkToFit="0" vertical="top" wrapText="0"/>
    </xf>
    <xf borderId="20" fillId="5" fontId="36" numFmtId="0" xfId="0" applyAlignment="1" applyBorder="1" applyFont="1">
      <alignment readingOrder="0" vertical="top"/>
    </xf>
    <xf borderId="21" fillId="5" fontId="36" numFmtId="0" xfId="0" applyAlignment="1" applyBorder="1" applyFont="1">
      <alignment readingOrder="0" shrinkToFit="0" vertical="center" wrapText="1"/>
    </xf>
    <xf borderId="52" fillId="5" fontId="36" numFmtId="0" xfId="0" applyAlignment="1" applyBorder="1" applyFont="1">
      <alignment horizontal="left" readingOrder="0" shrinkToFit="0" vertical="top" wrapText="1"/>
    </xf>
    <xf borderId="18" fillId="0" fontId="118" numFmtId="0" xfId="0" applyAlignment="1" applyBorder="1" applyFont="1">
      <alignment horizontal="left" readingOrder="0" shrinkToFit="0" vertical="top" wrapText="1"/>
    </xf>
    <xf borderId="18" fillId="5" fontId="99" numFmtId="0" xfId="0" applyAlignment="1" applyBorder="1" applyFont="1">
      <alignment horizontal="left" readingOrder="0" shrinkToFit="0" vertical="top" wrapText="1"/>
    </xf>
    <xf borderId="52" fillId="5" fontId="99" numFmtId="0" xfId="0" applyAlignment="1" applyBorder="1" applyFont="1">
      <alignment horizontal="left" readingOrder="0" shrinkToFit="0" vertical="top" wrapText="1"/>
    </xf>
    <xf borderId="51" fillId="5" fontId="99" numFmtId="0" xfId="0" applyAlignment="1" applyBorder="1" applyFont="1">
      <alignment horizontal="left" readingOrder="0" shrinkToFit="0" vertical="top" wrapText="1"/>
    </xf>
    <xf borderId="51" fillId="5" fontId="99" numFmtId="0" xfId="0" applyAlignment="1" applyBorder="1" applyFont="1">
      <alignment horizontal="left" shrinkToFit="0" vertical="top" wrapText="1"/>
    </xf>
    <xf borderId="52" fillId="9" fontId="123" numFmtId="0" xfId="0" applyAlignment="1" applyBorder="1" applyFill="1" applyFont="1">
      <alignment horizontal="center" readingOrder="0" shrinkToFit="0" vertical="center" wrapText="1"/>
    </xf>
    <xf borderId="18" fillId="0" fontId="118" numFmtId="0" xfId="0" applyAlignment="1" applyBorder="1" applyFont="1">
      <alignment readingOrder="0" shrinkToFit="0" vertical="top" wrapText="1"/>
    </xf>
    <xf borderId="26" fillId="0" fontId="124" numFmtId="0" xfId="0" applyAlignment="1" applyBorder="1" applyFont="1">
      <alignment readingOrder="0" shrinkToFit="0" wrapText="1"/>
    </xf>
    <xf borderId="53" fillId="0" fontId="125" numFmtId="0" xfId="0" applyAlignment="1" applyBorder="1" applyFont="1">
      <alignment readingOrder="0" shrinkToFit="0" wrapText="1"/>
    </xf>
    <xf borderId="24" fillId="2" fontId="2" numFmtId="0" xfId="0" applyAlignment="1" applyBorder="1" applyFont="1">
      <alignment horizontal="left" shrinkToFit="0" vertical="top" wrapText="1"/>
    </xf>
    <xf borderId="18" fillId="2" fontId="2" numFmtId="0" xfId="0" applyAlignment="1" applyBorder="1" applyFont="1">
      <alignment horizontal="left" readingOrder="0" shrinkToFit="0" vertical="top" wrapText="0"/>
    </xf>
    <xf borderId="19" fillId="5" fontId="36" numFmtId="0" xfId="0" applyAlignment="1" applyBorder="1" applyFont="1">
      <alignment readingOrder="0" shrinkToFit="0" vertical="top" wrapText="1"/>
    </xf>
    <xf borderId="18" fillId="5" fontId="36" numFmtId="0" xfId="0" applyAlignment="1" applyBorder="1" applyFont="1">
      <alignment vertical="center"/>
    </xf>
    <xf borderId="22" fillId="5" fontId="36" numFmtId="0" xfId="0" applyAlignment="1" applyBorder="1" applyFont="1">
      <alignment horizontal="left" readingOrder="0" shrinkToFit="0" vertical="top" wrapText="1"/>
    </xf>
    <xf borderId="27" fillId="5" fontId="99" numFmtId="0" xfId="0" applyAlignment="1" applyBorder="1" applyFont="1">
      <alignment horizontal="left" shrinkToFit="0" vertical="top" wrapText="1"/>
    </xf>
    <xf borderId="27" fillId="0" fontId="118" numFmtId="0" xfId="0" applyAlignment="1" applyBorder="1" applyFont="1">
      <alignment readingOrder="0" shrinkToFit="0" vertical="top" wrapText="1"/>
    </xf>
    <xf borderId="54" fillId="5" fontId="126" numFmtId="0" xfId="0" applyAlignment="1" applyBorder="1" applyFont="1">
      <alignment readingOrder="0" shrinkToFit="0" wrapText="1"/>
    </xf>
    <xf borderId="18" fillId="2" fontId="2" numFmtId="0" xfId="0" applyAlignment="1" applyBorder="1" applyFont="1">
      <alignment horizontal="left" shrinkToFit="0" vertical="top" wrapText="0"/>
    </xf>
    <xf borderId="19" fillId="0" fontId="36" numFmtId="0" xfId="0" applyAlignment="1" applyBorder="1" applyFont="1">
      <alignment readingOrder="0" shrinkToFit="0" vertical="top" wrapText="1"/>
    </xf>
    <xf borderId="18" fillId="0" fontId="36" numFmtId="0" xfId="0" applyAlignment="1" applyBorder="1" applyFont="1">
      <alignment vertical="center"/>
    </xf>
    <xf borderId="22" fillId="0" fontId="36" numFmtId="0" xfId="0" applyAlignment="1" applyBorder="1" applyFont="1">
      <alignment horizontal="left" readingOrder="0" shrinkToFit="0" vertical="top" wrapText="1"/>
    </xf>
    <xf borderId="18" fillId="0" fontId="118" numFmtId="0" xfId="0" applyAlignment="1" applyBorder="1" applyFont="1">
      <alignment horizontal="left" shrinkToFit="0" vertical="top" wrapText="1"/>
    </xf>
    <xf borderId="18" fillId="0" fontId="99" numFmtId="0" xfId="0" applyAlignment="1" applyBorder="1" applyFont="1">
      <alignment horizontal="left" readingOrder="0" shrinkToFit="0" vertical="top" wrapText="1"/>
    </xf>
    <xf borderId="27" fillId="0" fontId="99" numFmtId="0" xfId="0" applyAlignment="1" applyBorder="1" applyFont="1">
      <alignment horizontal="left" shrinkToFit="0" vertical="top" wrapText="1"/>
    </xf>
    <xf borderId="52" fillId="5" fontId="123" numFmtId="0" xfId="0" applyAlignment="1" applyBorder="1" applyFont="1">
      <alignment horizontal="center" readingOrder="0" shrinkToFit="0" vertical="center" wrapText="1"/>
    </xf>
    <xf borderId="27" fillId="0" fontId="118" numFmtId="0" xfId="0" applyAlignment="1" applyBorder="1" applyFont="1">
      <alignment shrinkToFit="0" vertical="top" wrapText="1"/>
    </xf>
    <xf borderId="54" fillId="5" fontId="5" numFmtId="0" xfId="0" applyAlignment="1" applyBorder="1" applyFont="1">
      <alignment shrinkToFit="0" wrapText="1"/>
    </xf>
    <xf borderId="0" fillId="0" fontId="36" numFmtId="0" xfId="0" applyAlignment="1" applyFont="1">
      <alignment readingOrder="0" shrinkToFit="0" vertical="center" wrapText="1"/>
    </xf>
    <xf borderId="22" fillId="0" fontId="99" numFmtId="0" xfId="0" applyAlignment="1" applyBorder="1" applyFont="1">
      <alignment horizontal="left" readingOrder="0" shrinkToFit="0" vertical="top" wrapText="1"/>
    </xf>
    <xf borderId="54" fillId="5" fontId="127" numFmtId="0" xfId="0" applyAlignment="1" applyBorder="1" applyFont="1">
      <alignment readingOrder="0" shrinkToFit="0" wrapText="1"/>
    </xf>
    <xf borderId="44" fillId="5" fontId="12" numFmtId="0" xfId="0" applyAlignment="1" applyBorder="1" applyFont="1">
      <alignment readingOrder="0" shrinkToFit="0" wrapText="1"/>
    </xf>
    <xf borderId="22" fillId="0" fontId="36" numFmtId="0" xfId="0" applyAlignment="1" applyBorder="1" applyFont="1">
      <alignment horizontal="left" readingOrder="0" shrinkToFit="0" vertical="center" wrapText="1"/>
    </xf>
    <xf borderId="18" fillId="0" fontId="36" numFmtId="0" xfId="0" applyAlignment="1" applyBorder="1" applyFont="1">
      <alignment horizontal="left" readingOrder="0" shrinkToFit="0" vertical="top" wrapText="1"/>
    </xf>
    <xf borderId="27" fillId="0" fontId="36" numFmtId="0" xfId="0" applyAlignment="1" applyBorder="1" applyFont="1">
      <alignment horizontal="left" shrinkToFit="0" vertical="top" wrapText="1"/>
    </xf>
    <xf borderId="54" fillId="5" fontId="12" numFmtId="0" xfId="0" applyAlignment="1" applyBorder="1" applyFont="1">
      <alignment readingOrder="0" shrinkToFit="0" wrapText="1"/>
    </xf>
    <xf borderId="22" fillId="0" fontId="36" numFmtId="0" xfId="0" applyAlignment="1" applyBorder="1" applyFont="1">
      <alignment horizontal="left" shrinkToFit="0" vertical="top" wrapText="1"/>
    </xf>
    <xf borderId="22" fillId="0" fontId="36" numFmtId="0" xfId="0" applyAlignment="1" applyBorder="1" applyFont="1">
      <alignment horizontal="left" shrinkToFit="0" vertical="center" wrapText="1"/>
    </xf>
    <xf borderId="22" fillId="0" fontId="36" numFmtId="0" xfId="0" applyAlignment="1" applyBorder="1" applyFont="1">
      <alignment horizontal="center" shrinkToFit="0" vertical="center" wrapText="0"/>
    </xf>
    <xf borderId="18" fillId="2" fontId="2" numFmtId="165" xfId="0" applyAlignment="1" applyBorder="1" applyFont="1" applyNumberFormat="1">
      <alignment horizontal="left" shrinkToFit="0" vertical="top" wrapText="0"/>
    </xf>
    <xf borderId="18" fillId="0" fontId="36" numFmtId="0" xfId="0" applyAlignment="1" applyBorder="1" applyFont="1">
      <alignment horizontal="left" shrinkToFit="0" vertical="top" wrapText="1"/>
    </xf>
    <xf borderId="22" fillId="5" fontId="36" numFmtId="0" xfId="0" applyAlignment="1" applyBorder="1" applyFont="1">
      <alignment horizontal="left" shrinkToFit="0" vertical="top" wrapText="1"/>
    </xf>
    <xf borderId="27" fillId="0" fontId="36" numFmtId="0" xfId="0" applyAlignment="1" applyBorder="1" applyFont="1">
      <alignment shrinkToFit="0" vertical="bottom" wrapText="0"/>
    </xf>
    <xf borderId="22" fillId="0" fontId="36" numFmtId="0" xfId="0" applyAlignment="1" applyBorder="1" applyFont="1">
      <alignment shrinkToFit="0" vertical="bottom" wrapText="0"/>
    </xf>
    <xf borderId="54" fillId="0" fontId="5" numFmtId="0" xfId="0" applyAlignment="1" applyBorder="1" applyFont="1">
      <alignment shrinkToFit="0" wrapText="1"/>
    </xf>
    <xf borderId="44" fillId="0" fontId="5" numFmtId="0" xfId="0" applyAlignment="1" applyBorder="1" applyFont="1">
      <alignment shrinkToFit="0" wrapText="1"/>
    </xf>
    <xf borderId="27" fillId="0" fontId="128" numFmtId="0" xfId="0" applyAlignment="1" applyBorder="1" applyFont="1">
      <alignment horizontal="left" shrinkToFit="0" vertical="top" wrapText="1"/>
    </xf>
    <xf borderId="22" fillId="0" fontId="129" numFmtId="0" xfId="0" applyAlignment="1" applyBorder="1" applyFont="1">
      <alignment horizontal="center" shrinkToFit="0" vertical="center" wrapText="0"/>
    </xf>
    <xf borderId="27" fillId="0" fontId="130" numFmtId="0" xfId="0" applyAlignment="1" applyBorder="1" applyFont="1">
      <alignment horizontal="left" shrinkToFit="0" vertical="top" wrapText="1"/>
    </xf>
    <xf borderId="22" fillId="0" fontId="131" numFmtId="0" xfId="0" applyAlignment="1" applyBorder="1" applyFont="1">
      <alignment horizontal="center" shrinkToFit="0" vertical="center" wrapText="0"/>
    </xf>
    <xf borderId="55" fillId="2" fontId="2" numFmtId="0" xfId="0" applyAlignment="1" applyBorder="1" applyFont="1">
      <alignment horizontal="left" shrinkToFit="0" vertical="top" wrapText="1"/>
    </xf>
    <xf borderId="12" fillId="2" fontId="2" numFmtId="164" xfId="0" applyAlignment="1" applyBorder="1" applyFont="1" applyNumberFormat="1">
      <alignment horizontal="left" shrinkToFit="0" vertical="top" wrapText="0"/>
    </xf>
    <xf borderId="15" fillId="0" fontId="36" numFmtId="0" xfId="0" applyAlignment="1" applyBorder="1" applyFont="1">
      <alignment horizontal="left" shrinkToFit="0" vertical="top" wrapText="0"/>
    </xf>
    <xf borderId="15" fillId="0" fontId="36" numFmtId="0" xfId="0" applyAlignment="1" applyBorder="1" applyFont="1">
      <alignment horizontal="left" shrinkToFit="0" vertical="center" wrapText="1"/>
    </xf>
    <xf borderId="15" fillId="0" fontId="36" numFmtId="0" xfId="0" applyAlignment="1" applyBorder="1" applyFont="1">
      <alignment horizontal="left" shrinkToFit="0" vertical="top" wrapText="1"/>
    </xf>
    <xf borderId="12" fillId="0" fontId="118" numFmtId="0" xfId="0" applyAlignment="1" applyBorder="1" applyFont="1">
      <alignment horizontal="left" shrinkToFit="0" vertical="top" wrapText="1"/>
    </xf>
    <xf borderId="12" fillId="0" fontId="36" numFmtId="0" xfId="0" applyAlignment="1" applyBorder="1" applyFont="1">
      <alignment horizontal="left" shrinkToFit="0" vertical="top" wrapText="0"/>
    </xf>
    <xf borderId="15" fillId="0" fontId="99" numFmtId="0" xfId="0" applyAlignment="1" applyBorder="1" applyFont="1">
      <alignment horizontal="left" shrinkToFit="0" vertical="top" wrapText="0"/>
    </xf>
    <xf borderId="56" fillId="0" fontId="36" numFmtId="0" xfId="0" applyAlignment="1" applyBorder="1" applyFont="1">
      <alignment horizontal="left" shrinkToFit="0" vertical="top" wrapText="1"/>
    </xf>
    <xf borderId="15" fillId="0" fontId="36" numFmtId="0" xfId="0" applyAlignment="1" applyBorder="1" applyFont="1">
      <alignment horizontal="center" shrinkToFit="0" vertical="center" wrapText="0"/>
    </xf>
    <xf borderId="56" fillId="0" fontId="118" numFmtId="0" xfId="0" applyAlignment="1" applyBorder="1" applyFont="1">
      <alignment shrinkToFit="0" vertical="top" wrapText="1"/>
    </xf>
    <xf borderId="45" fillId="0" fontId="5" numFmtId="0" xfId="0" applyAlignment="1" applyBorder="1" applyFont="1">
      <alignment shrinkToFit="0" wrapText="1"/>
    </xf>
    <xf borderId="46" fillId="0" fontId="5" numFmtId="0" xfId="0" applyAlignment="1" applyBorder="1" applyFont="1">
      <alignment shrinkToFit="0" wrapText="1"/>
    </xf>
    <xf borderId="0" fillId="0" fontId="36" numFmtId="0" xfId="0" applyAlignment="1" applyFont="1">
      <alignment vertical="center"/>
    </xf>
    <xf borderId="0" fillId="0" fontId="5" numFmtId="0" xfId="0" applyAlignment="1" applyFont="1">
      <alignment horizontal="center" vertical="center"/>
    </xf>
    <xf borderId="0" fillId="0" fontId="5" numFmtId="0" xfId="0" applyAlignment="1" applyFont="1">
      <alignment horizontal="left" vertical="center"/>
    </xf>
    <xf borderId="0" fillId="0" fontId="118" numFmtId="0" xfId="0" applyAlignment="1" applyFont="1">
      <alignment horizontal="left" vertical="center"/>
    </xf>
    <xf borderId="0" fillId="0" fontId="36" numFmtId="0" xfId="0" applyFont="1"/>
    <xf borderId="0" fillId="0" fontId="36" numFmtId="0" xfId="0" applyAlignment="1" applyFont="1">
      <alignment vertical="center"/>
    </xf>
    <xf borderId="0" fillId="0" fontId="80" numFmtId="0" xfId="0" applyAlignment="1" applyFont="1">
      <alignment shrinkToFit="0" wrapText="1"/>
    </xf>
    <xf borderId="11" fillId="2" fontId="2" numFmtId="0" xfId="0" applyAlignment="1" applyBorder="1" applyFont="1">
      <alignment horizontal="center" shrinkToFit="0" vertical="center" wrapText="1"/>
    </xf>
    <xf borderId="12" fillId="2" fontId="2" numFmtId="0" xfId="0" applyAlignment="1" applyBorder="1" applyFont="1">
      <alignment horizontal="center" shrinkToFit="0" vertical="center" wrapText="1"/>
    </xf>
    <xf borderId="36" fillId="2" fontId="2" numFmtId="0" xfId="0" applyAlignment="1" applyBorder="1" applyFont="1">
      <alignment horizontal="center" shrinkToFit="0" vertical="center" wrapText="1"/>
    </xf>
    <xf borderId="10" fillId="3" fontId="2" numFmtId="0" xfId="0" applyAlignment="1" applyBorder="1" applyFont="1">
      <alignment horizontal="center" readingOrder="0" shrinkToFit="0" vertical="center" wrapText="1"/>
    </xf>
    <xf borderId="50" fillId="2" fontId="2" numFmtId="0" xfId="0" applyAlignment="1" applyBorder="1" applyFont="1">
      <alignment shrinkToFit="0" vertical="top" wrapText="1"/>
    </xf>
    <xf borderId="51" fillId="2" fontId="2" numFmtId="0" xfId="0" applyAlignment="1" applyBorder="1" applyFont="1">
      <alignment horizontal="left" shrinkToFit="0" vertical="top" wrapText="1"/>
    </xf>
    <xf borderId="20" fillId="5" fontId="118" numFmtId="0" xfId="0" applyAlignment="1" applyBorder="1" applyFont="1">
      <alignment readingOrder="0" shrinkToFit="0" vertical="top" wrapText="1"/>
    </xf>
    <xf borderId="21" fillId="5" fontId="99" numFmtId="0" xfId="0" applyAlignment="1" applyBorder="1" applyFont="1">
      <alignment readingOrder="0" shrinkToFit="0" vertical="center" wrapText="1"/>
    </xf>
    <xf borderId="52" fillId="5" fontId="99" numFmtId="0" xfId="0" applyAlignment="1" applyBorder="1" applyFont="1">
      <alignment horizontal="center" shrinkToFit="0" vertical="center" wrapText="1"/>
    </xf>
    <xf borderId="53" fillId="0" fontId="12" numFmtId="0" xfId="0" applyAlignment="1" applyBorder="1" applyFont="1">
      <alignment horizontal="center" shrinkToFit="0" vertical="center" wrapText="1"/>
    </xf>
    <xf borderId="51" fillId="5" fontId="99" numFmtId="0" xfId="0" applyAlignment="1" applyBorder="1" applyFont="1">
      <alignment horizontal="left" shrinkToFit="0" vertical="center" wrapText="1"/>
    </xf>
    <xf borderId="52" fillId="5" fontId="8" numFmtId="0" xfId="0" applyAlignment="1" applyBorder="1" applyFont="1">
      <alignment shrinkToFit="0" vertical="center" wrapText="1"/>
    </xf>
    <xf borderId="22" fillId="5" fontId="8" numFmtId="0" xfId="0" applyAlignment="1" applyBorder="1" applyFont="1">
      <alignment shrinkToFit="0" vertical="center" wrapText="1"/>
    </xf>
    <xf borderId="18" fillId="0" fontId="118" numFmtId="0" xfId="0" applyAlignment="1" applyBorder="1" applyFont="1">
      <alignment horizontal="center" shrinkToFit="0" vertical="center" wrapText="1"/>
    </xf>
    <xf borderId="26" fillId="0" fontId="118" numFmtId="0" xfId="0" applyAlignment="1" applyBorder="1" applyFont="1">
      <alignment shrinkToFit="0" vertical="center" wrapText="1"/>
    </xf>
    <xf borderId="53" fillId="0" fontId="118" numFmtId="0" xfId="0" applyAlignment="1" applyBorder="1" applyFont="1">
      <alignment shrinkToFit="0" vertical="center" wrapText="1"/>
    </xf>
    <xf borderId="24" fillId="2" fontId="2" numFmtId="0" xfId="0" applyAlignment="1" applyBorder="1" applyFont="1">
      <alignment shrinkToFit="0" vertical="top" wrapText="1"/>
    </xf>
    <xf borderId="18" fillId="2" fontId="2" numFmtId="0" xfId="0" applyAlignment="1" applyBorder="1" applyFont="1">
      <alignment horizontal="left" shrinkToFit="0" vertical="top" wrapText="1"/>
    </xf>
    <xf borderId="19" fillId="5" fontId="118" numFmtId="0" xfId="0" applyAlignment="1" applyBorder="1" applyFont="1">
      <alignment readingOrder="0" shrinkToFit="0" vertical="top" wrapText="1"/>
    </xf>
    <xf borderId="18" fillId="5" fontId="99" numFmtId="0" xfId="0" applyAlignment="1" applyBorder="1" applyFont="1">
      <alignment shrinkToFit="0" vertical="center" wrapText="1"/>
    </xf>
    <xf borderId="22" fillId="5" fontId="99" numFmtId="0" xfId="0" applyAlignment="1" applyBorder="1" applyFont="1">
      <alignment horizontal="center" readingOrder="0" shrinkToFit="0" vertical="center" wrapText="1"/>
    </xf>
    <xf borderId="53" fillId="0" fontId="12" numFmtId="0" xfId="0" applyAlignment="1" applyBorder="1" applyFont="1">
      <alignment horizontal="center" readingOrder="0" shrinkToFit="0" vertical="center" wrapText="1"/>
    </xf>
    <xf borderId="27" fillId="5" fontId="99" numFmtId="0" xfId="0" applyAlignment="1" applyBorder="1" applyFont="1">
      <alignment horizontal="left" readingOrder="0" shrinkToFit="0" vertical="center" wrapText="1"/>
    </xf>
    <xf borderId="22" fillId="5" fontId="8" numFmtId="0" xfId="0" applyAlignment="1" applyBorder="1" applyFont="1">
      <alignment readingOrder="0" shrinkToFit="0" vertical="center" wrapText="1"/>
    </xf>
    <xf borderId="27" fillId="0" fontId="118" numFmtId="0" xfId="0" applyAlignment="1" applyBorder="1" applyFont="1">
      <alignment horizontal="center" shrinkToFit="0" vertical="center" wrapText="1"/>
    </xf>
    <xf borderId="54" fillId="5" fontId="118" numFmtId="0" xfId="0" applyAlignment="1" applyBorder="1" applyFont="1">
      <alignment readingOrder="0" shrinkToFit="0" vertical="center" wrapText="1"/>
    </xf>
    <xf borderId="54" fillId="5" fontId="132" numFmtId="0" xfId="0" applyAlignment="1" applyBorder="1" applyFont="1">
      <alignment readingOrder="0" shrinkToFit="0" vertical="center" wrapText="1"/>
    </xf>
    <xf borderId="44" fillId="5" fontId="118" numFmtId="0" xfId="0" applyAlignment="1" applyBorder="1" applyFont="1">
      <alignment readingOrder="0" shrinkToFit="0" vertical="center" wrapText="1"/>
    </xf>
    <xf borderId="18" fillId="2" fontId="2" numFmtId="0" xfId="0" applyAlignment="1" applyBorder="1" applyFont="1">
      <alignment horizontal="left" shrinkToFit="0" vertical="center" wrapText="0"/>
    </xf>
    <xf borderId="19" fillId="0" fontId="118" numFmtId="0" xfId="0" applyAlignment="1" applyBorder="1" applyFont="1">
      <alignment readingOrder="0" shrinkToFit="0" vertical="top" wrapText="1"/>
    </xf>
    <xf borderId="18" fillId="0" fontId="99" numFmtId="0" xfId="0" applyAlignment="1" applyBorder="1" applyFont="1">
      <alignment shrinkToFit="0" vertical="center" wrapText="1"/>
    </xf>
    <xf borderId="22" fillId="0" fontId="99" numFmtId="0" xfId="0" applyAlignment="1" applyBorder="1" applyFont="1">
      <alignment horizontal="center" shrinkToFit="0" vertical="center" wrapText="1"/>
    </xf>
    <xf borderId="27" fillId="0" fontId="99" numFmtId="0" xfId="0" applyAlignment="1" applyBorder="1" applyFont="1">
      <alignment horizontal="left" shrinkToFit="0" vertical="center" wrapText="1"/>
    </xf>
    <xf borderId="22" fillId="0" fontId="8" numFmtId="0" xfId="0" applyAlignment="1" applyBorder="1" applyFont="1">
      <alignment shrinkToFit="0" vertical="center" wrapText="1"/>
    </xf>
    <xf borderId="54" fillId="5" fontId="118" numFmtId="0" xfId="0" applyAlignment="1" applyBorder="1" applyFont="1">
      <alignment shrinkToFit="0" vertical="center" wrapText="1"/>
    </xf>
    <xf borderId="44" fillId="5" fontId="118" numFmtId="0" xfId="0" applyAlignment="1" applyBorder="1" applyFont="1">
      <alignment shrinkToFit="0" vertical="center" wrapText="1"/>
    </xf>
    <xf borderId="18" fillId="0" fontId="99" numFmtId="0" xfId="0" applyAlignment="1" applyBorder="1" applyFont="1">
      <alignment readingOrder="0" shrinkToFit="0" vertical="center" wrapText="1"/>
    </xf>
    <xf borderId="22" fillId="0" fontId="99" numFmtId="0" xfId="0" applyAlignment="1" applyBorder="1" applyFont="1">
      <alignment horizontal="center" readingOrder="0" shrinkToFit="0" vertical="center" wrapText="1"/>
    </xf>
    <xf borderId="27" fillId="0" fontId="99" numFmtId="0" xfId="0" applyAlignment="1" applyBorder="1" applyFont="1">
      <alignment horizontal="left" readingOrder="0" shrinkToFit="0" vertical="center" wrapText="1"/>
    </xf>
    <xf borderId="22" fillId="0" fontId="8" numFmtId="0" xfId="0" applyAlignment="1" applyBorder="1" applyFont="1">
      <alignment readingOrder="0" shrinkToFit="0" vertical="center" wrapText="1"/>
    </xf>
    <xf borderId="27" fillId="0" fontId="36" numFmtId="0" xfId="0" applyAlignment="1" applyBorder="1" applyFont="1">
      <alignment horizontal="left" readingOrder="0" shrinkToFit="0" vertical="center" wrapText="1"/>
    </xf>
    <xf borderId="27" fillId="0" fontId="118" numFmtId="0" xfId="0" applyAlignment="1" applyBorder="1" applyFont="1">
      <alignment horizontal="center" readingOrder="0" shrinkToFit="0" vertical="center" wrapText="1"/>
    </xf>
    <xf borderId="44" fillId="10" fontId="118" numFmtId="0" xfId="0" applyAlignment="1" applyBorder="1" applyFill="1" applyFont="1">
      <alignment readingOrder="0" shrinkToFit="0" vertical="center" wrapText="1"/>
    </xf>
    <xf borderId="18" fillId="2" fontId="2" numFmtId="0" xfId="0" applyAlignment="1" applyBorder="1" applyFont="1">
      <alignment horizontal="left" readingOrder="0" shrinkToFit="0" vertical="center" wrapText="0"/>
    </xf>
    <xf borderId="22" fillId="0" fontId="36" numFmtId="0" xfId="0" applyAlignment="1" applyBorder="1" applyFont="1">
      <alignment horizontal="center" readingOrder="0" shrinkToFit="0" vertical="center" wrapText="1"/>
    </xf>
    <xf borderId="22" fillId="0" fontId="36" numFmtId="0" xfId="0" applyAlignment="1" applyBorder="1" applyFont="1">
      <alignment horizontal="center" shrinkToFit="0" vertical="center" wrapText="1"/>
    </xf>
    <xf borderId="27" fillId="0" fontId="36" numFmtId="0" xfId="0" applyAlignment="1" applyBorder="1" applyFont="1">
      <alignment horizontal="left" shrinkToFit="0" vertical="center" wrapText="1"/>
    </xf>
    <xf borderId="22" fillId="0" fontId="99" numFmtId="0" xfId="0" applyAlignment="1" applyBorder="1" applyFont="1">
      <alignment readingOrder="0" shrinkToFit="0" vertical="center" wrapText="1"/>
    </xf>
    <xf borderId="18" fillId="2" fontId="2" numFmtId="165" xfId="0" applyAlignment="1" applyBorder="1" applyFont="1" applyNumberFormat="1">
      <alignment horizontal="left" shrinkToFit="0" vertical="center" wrapText="0"/>
    </xf>
    <xf borderId="22" fillId="0" fontId="8" numFmtId="0" xfId="0" applyAlignment="1" applyBorder="1" applyFont="1">
      <alignment horizontal="left" readingOrder="0" shrinkToFit="0" vertical="center" wrapText="1"/>
    </xf>
    <xf borderId="22" fillId="0" fontId="99" numFmtId="0" xfId="0" applyAlignment="1" applyBorder="1" applyFont="1">
      <alignment shrinkToFit="0" vertical="center" wrapText="1"/>
    </xf>
    <xf borderId="0" fillId="5" fontId="133" numFmtId="0" xfId="0" applyAlignment="1" applyFont="1">
      <alignment horizontal="left" readingOrder="0" shrinkToFit="0" vertical="center" wrapText="1"/>
    </xf>
    <xf borderId="22" fillId="0" fontId="134" numFmtId="0" xfId="0" applyAlignment="1" applyBorder="1" applyFont="1">
      <alignment readingOrder="0" shrinkToFit="0" vertical="center" wrapText="1"/>
    </xf>
    <xf borderId="44" fillId="5" fontId="135" numFmtId="0" xfId="0" applyAlignment="1" applyBorder="1" applyFont="1">
      <alignment readingOrder="0" shrinkToFit="0" vertical="center" wrapText="1"/>
    </xf>
    <xf borderId="18" fillId="2" fontId="2" numFmtId="164" xfId="0" applyAlignment="1" applyBorder="1" applyFont="1" applyNumberFormat="1">
      <alignment horizontal="left" shrinkToFit="0" vertical="center" wrapText="1"/>
    </xf>
    <xf borderId="0" fillId="5" fontId="118" numFmtId="0" xfId="0" applyAlignment="1" applyFont="1">
      <alignment horizontal="left" readingOrder="0" shrinkToFit="0" vertical="top" wrapText="1"/>
    </xf>
    <xf borderId="54" fillId="5" fontId="136" numFmtId="0" xfId="0" applyAlignment="1" applyBorder="1" applyFont="1">
      <alignment readingOrder="0" shrinkToFit="0" vertical="center" wrapText="1"/>
    </xf>
    <xf borderId="54" fillId="5" fontId="137" numFmtId="0" xfId="0" applyAlignment="1" applyBorder="1" applyFont="1">
      <alignment readingOrder="0" shrinkToFit="0" vertical="center" wrapText="1"/>
    </xf>
    <xf borderId="44" fillId="5" fontId="136" numFmtId="0" xfId="0" applyAlignment="1" applyBorder="1" applyFont="1">
      <alignment shrinkToFit="0" vertical="center" wrapText="1"/>
    </xf>
    <xf borderId="22" fillId="0" fontId="138" numFmtId="0" xfId="0" applyAlignment="1" applyBorder="1" applyFont="1">
      <alignment shrinkToFit="0" vertical="center" wrapText="1"/>
    </xf>
    <xf borderId="18" fillId="2" fontId="2" numFmtId="164" xfId="0" applyAlignment="1" applyBorder="1" applyFont="1" applyNumberFormat="1">
      <alignment horizontal="left" shrinkToFit="0" vertical="top" wrapText="1"/>
    </xf>
    <xf borderId="22" fillId="0" fontId="99" numFmtId="0" xfId="0" applyAlignment="1" applyBorder="1" applyFont="1">
      <alignment readingOrder="0" shrinkToFit="0" vertical="bottom" wrapText="1"/>
    </xf>
    <xf borderId="54" fillId="0" fontId="118" numFmtId="0" xfId="0" applyAlignment="1" applyBorder="1" applyFont="1">
      <alignment shrinkToFit="0" vertical="center" wrapText="1"/>
    </xf>
    <xf borderId="44" fillId="0" fontId="118" numFmtId="0" xfId="0" applyAlignment="1" applyBorder="1" applyFont="1">
      <alignment shrinkToFit="0" vertical="center" wrapText="1"/>
    </xf>
    <xf borderId="27" fillId="0" fontId="36" numFmtId="0" xfId="0" applyAlignment="1" applyBorder="1" applyFont="1">
      <alignment shrinkToFit="0" vertical="center" wrapText="1"/>
    </xf>
    <xf borderId="22" fillId="0" fontId="36" numFmtId="0" xfId="0" applyAlignment="1" applyBorder="1" applyFont="1">
      <alignment shrinkToFit="0" vertical="center" wrapText="1"/>
    </xf>
    <xf borderId="22" fillId="5" fontId="36" numFmtId="0" xfId="0" applyAlignment="1" applyBorder="1" applyFont="1">
      <alignment horizontal="left" readingOrder="0" shrinkToFit="0" vertical="top" wrapText="1"/>
    </xf>
    <xf borderId="22" fillId="0" fontId="99" numFmtId="0" xfId="0" applyAlignment="1" applyBorder="1" applyFont="1">
      <alignment shrinkToFit="0" vertical="bottom" wrapText="1"/>
    </xf>
    <xf borderId="22" fillId="0" fontId="139" numFmtId="0" xfId="0" applyAlignment="1" applyBorder="1" applyFont="1">
      <alignment horizontal="left" readingOrder="0" shrinkToFit="0" vertical="top" wrapText="1"/>
    </xf>
    <xf borderId="22" fillId="0" fontId="140" numFmtId="0" xfId="0" applyAlignment="1" applyBorder="1" applyFont="1">
      <alignment readingOrder="0" shrinkToFit="0" vertical="bottom" wrapText="1"/>
    </xf>
    <xf borderId="22" fillId="0" fontId="141" numFmtId="0" xfId="0" applyAlignment="1" applyBorder="1" applyFont="1">
      <alignment shrinkToFit="0" vertical="bottom" wrapText="1"/>
    </xf>
    <xf borderId="22" fillId="0" fontId="36" numFmtId="0" xfId="0" applyAlignment="1" applyBorder="1" applyFont="1">
      <alignment shrinkToFit="0" vertical="center" wrapText="0"/>
    </xf>
    <xf borderId="27" fillId="0" fontId="36" numFmtId="0" xfId="0" applyAlignment="1" applyBorder="1" applyFont="1">
      <alignment horizontal="left" shrinkToFit="0" vertical="center" wrapText="0"/>
    </xf>
    <xf borderId="12" fillId="2" fontId="2" numFmtId="164" xfId="0" applyAlignment="1" applyBorder="1" applyFont="1" applyNumberFormat="1">
      <alignment horizontal="left" shrinkToFit="0" vertical="top" wrapText="1"/>
    </xf>
    <xf borderId="15" fillId="0" fontId="36" numFmtId="0" xfId="0" applyAlignment="1" applyBorder="1" applyFont="1">
      <alignment shrinkToFit="0" vertical="center" wrapText="0"/>
    </xf>
    <xf borderId="15" fillId="0" fontId="36" numFmtId="0" xfId="0" applyAlignment="1" applyBorder="1" applyFont="1">
      <alignment shrinkToFit="0" vertical="center" wrapText="1"/>
    </xf>
    <xf borderId="57" fillId="0" fontId="5" numFmtId="0" xfId="0" applyAlignment="1" applyBorder="1" applyFont="1">
      <alignment horizontal="center" shrinkToFit="0" vertical="center" wrapText="1"/>
    </xf>
    <xf borderId="56" fillId="0" fontId="36" numFmtId="0" xfId="0" applyAlignment="1" applyBorder="1" applyFont="1">
      <alignment horizontal="left" shrinkToFit="0" vertical="center" wrapText="0"/>
    </xf>
    <xf borderId="15" fillId="0" fontId="99" numFmtId="0" xfId="0" applyAlignment="1" applyBorder="1" applyFont="1">
      <alignment shrinkToFit="0" vertical="bottom" wrapText="1"/>
    </xf>
    <xf borderId="58" fillId="0" fontId="118" numFmtId="0" xfId="0" applyAlignment="1" applyBorder="1" applyFont="1">
      <alignment horizontal="center" shrinkToFit="0" vertical="center" wrapText="1"/>
    </xf>
    <xf borderId="56" fillId="0" fontId="118" numFmtId="0" xfId="0" applyAlignment="1" applyBorder="1" applyFont="1">
      <alignment horizontal="center" shrinkToFit="0" vertical="center" wrapText="1"/>
    </xf>
    <xf borderId="0" fillId="0" fontId="4" numFmtId="0" xfId="0" applyAlignment="1" applyFont="1">
      <alignment shrinkToFit="0" vertical="center" wrapText="1"/>
    </xf>
    <xf borderId="0" fillId="0" fontId="4" numFmtId="0" xfId="0" applyAlignment="1" applyFont="1">
      <alignment vertical="center"/>
    </xf>
    <xf borderId="49" fillId="2" fontId="2" numFmtId="0" xfId="0" applyAlignment="1" applyBorder="1" applyFont="1">
      <alignment horizontal="center" shrinkToFit="0" vertical="center" wrapText="0"/>
    </xf>
    <xf borderId="29" fillId="2" fontId="2" numFmtId="0" xfId="0" applyAlignment="1" applyBorder="1" applyFont="1">
      <alignment horizontal="center" shrinkToFit="0" vertical="center" wrapText="1"/>
    </xf>
    <xf borderId="15" fillId="3" fontId="2" numFmtId="0" xfId="0" applyAlignment="1" applyBorder="1" applyFont="1">
      <alignment horizontal="center" shrinkToFit="0" vertical="center" wrapText="1"/>
    </xf>
    <xf borderId="16" fillId="4" fontId="2" numFmtId="0" xfId="0" applyAlignment="1" applyBorder="1" applyFont="1">
      <alignment horizontal="center" shrinkToFit="0" vertical="center" wrapText="0"/>
    </xf>
    <xf borderId="20" fillId="5" fontId="7" numFmtId="0" xfId="0" applyAlignment="1" applyBorder="1" applyFont="1">
      <alignment readingOrder="0" shrinkToFit="0" vertical="top" wrapText="1"/>
    </xf>
    <xf borderId="21" fillId="5" fontId="7" numFmtId="0" xfId="0" applyAlignment="1" applyBorder="1" applyFont="1">
      <alignment readingOrder="0" vertical="top"/>
    </xf>
    <xf borderId="22" fillId="6" fontId="142" numFmtId="0" xfId="0" applyAlignment="1" applyBorder="1" applyFont="1">
      <alignment readingOrder="0" shrinkToFit="0" vertical="top" wrapText="1"/>
    </xf>
    <xf borderId="23" fillId="5" fontId="7" numFmtId="0" xfId="0" applyAlignment="1" applyBorder="1" applyFont="1">
      <alignment shrinkToFit="0" vertical="top" wrapText="0"/>
    </xf>
    <xf borderId="22" fillId="6" fontId="7" numFmtId="0" xfId="0" applyAlignment="1" applyBorder="1" applyFont="1">
      <alignment readingOrder="0" shrinkToFit="0" vertical="top" wrapText="1"/>
    </xf>
    <xf borderId="25" fillId="5" fontId="6" numFmtId="0" xfId="0" applyAlignment="1" applyBorder="1" applyFont="1">
      <alignment shrinkToFit="0" vertical="top" wrapText="0"/>
    </xf>
    <xf borderId="19" fillId="5" fontId="7" numFmtId="0" xfId="0" applyAlignment="1" applyBorder="1" applyFont="1">
      <alignment shrinkToFit="0" vertical="top" wrapText="1"/>
    </xf>
    <xf borderId="25" fillId="5" fontId="7" numFmtId="0" xfId="0" applyAlignment="1" applyBorder="1" applyFont="1">
      <alignment shrinkToFit="0" vertical="top" wrapText="0"/>
    </xf>
    <xf borderId="18" fillId="5" fontId="7" numFmtId="0" xfId="0" applyAlignment="1" applyBorder="1" applyFont="1">
      <alignment vertical="top"/>
    </xf>
    <xf borderId="0" fillId="5" fontId="143" numFmtId="0" xfId="0" applyAlignment="1" applyFont="1">
      <alignment shrinkToFit="0" vertical="top" wrapText="1"/>
    </xf>
    <xf borderId="26" fillId="5" fontId="23" numFmtId="0" xfId="0" applyAlignment="1" applyBorder="1" applyFont="1">
      <alignment shrinkToFit="0" vertical="top" wrapText="1"/>
    </xf>
    <xf borderId="26" fillId="5" fontId="7" numFmtId="0" xfId="0" applyAlignment="1" applyBorder="1" applyFont="1">
      <alignment shrinkToFit="0" vertical="top" wrapText="1"/>
    </xf>
    <xf borderId="0" fillId="5" fontId="7" numFmtId="0" xfId="0" applyAlignment="1" applyFont="1">
      <alignment shrinkToFit="0" vertical="top" wrapText="0"/>
    </xf>
    <xf borderId="28" fillId="5" fontId="26" numFmtId="0" xfId="0" applyAlignment="1" applyBorder="1" applyFont="1">
      <alignment vertical="top"/>
    </xf>
    <xf borderId="0" fillId="5" fontId="144" numFmtId="0" xfId="0" applyAlignment="1" applyFont="1">
      <alignment shrinkToFit="0" vertical="top" wrapText="1"/>
    </xf>
    <xf borderId="30" fillId="5" fontId="7" numFmtId="0" xfId="0" applyAlignment="1" applyBorder="1" applyFont="1">
      <alignment shrinkToFit="0" vertical="top" wrapText="0"/>
    </xf>
    <xf borderId="28" fillId="5" fontId="7" numFmtId="0" xfId="0" applyAlignment="1" applyBorder="1" applyFont="1">
      <alignment shrinkToFit="0" vertical="top" wrapText="0"/>
    </xf>
    <xf borderId="22" fillId="5" fontId="145" numFmtId="0" xfId="0" applyAlignment="1" applyBorder="1" applyFont="1">
      <alignment shrinkToFit="0" vertical="top" wrapText="1"/>
    </xf>
    <xf borderId="31" fillId="5" fontId="7" numFmtId="0" xfId="0" applyAlignment="1" applyBorder="1" applyFont="1">
      <alignment shrinkToFit="0" vertical="top" wrapText="0"/>
    </xf>
    <xf borderId="29" fillId="5" fontId="7" numFmtId="0" xfId="0" applyAlignment="1" applyBorder="1" applyFont="1">
      <alignment shrinkToFit="0" vertical="top" wrapText="0"/>
    </xf>
    <xf borderId="22" fillId="5" fontId="23" numFmtId="0" xfId="0" applyAlignment="1" applyBorder="1" applyFont="1">
      <alignment vertical="top"/>
    </xf>
    <xf borderId="28" fillId="5" fontId="5" numFmtId="0" xfId="0" applyAlignment="1" applyBorder="1" applyFont="1">
      <alignment vertical="top"/>
    </xf>
    <xf borderId="0" fillId="5" fontId="65" numFmtId="0" xfId="0" applyAlignment="1" applyFont="1">
      <alignment shrinkToFit="0" vertical="top" wrapText="1"/>
    </xf>
    <xf borderId="22" fillId="5" fontId="146" numFmtId="0" xfId="0" applyAlignment="1" applyBorder="1" applyFont="1">
      <alignment shrinkToFit="0" vertical="top" wrapText="1"/>
    </xf>
    <xf borderId="18" fillId="2" fontId="26" numFmtId="0" xfId="0" applyAlignment="1" applyBorder="1" applyFont="1">
      <alignment vertical="top"/>
    </xf>
    <xf borderId="22" fillId="5" fontId="147" numFmtId="0" xfId="0" applyAlignment="1" applyBorder="1" applyFont="1">
      <alignment shrinkToFit="0" vertical="top" wrapText="1"/>
    </xf>
    <xf borderId="0" fillId="5" fontId="148" numFmtId="0" xfId="0" applyAlignment="1" applyFont="1">
      <alignment shrinkToFit="0" vertical="top" wrapText="1"/>
    </xf>
    <xf borderId="22" fillId="5" fontId="149" numFmtId="0" xfId="0" applyAlignment="1" applyBorder="1" applyFont="1">
      <alignment shrinkToFit="0" vertical="top" wrapText="1"/>
    </xf>
    <xf borderId="22" fillId="5" fontId="150" numFmtId="0" xfId="0" applyAlignment="1" applyBorder="1" applyFont="1">
      <alignment shrinkToFit="0" vertical="top" wrapText="1"/>
    </xf>
    <xf borderId="32" fillId="2" fontId="6" numFmtId="0" xfId="0" applyAlignment="1" applyBorder="1" applyFont="1">
      <alignment shrinkToFit="0" vertical="top" wrapText="0"/>
    </xf>
    <xf borderId="32" fillId="2" fontId="26" numFmtId="0" xfId="0" applyAlignment="1" applyBorder="1" applyFont="1">
      <alignment vertical="top"/>
    </xf>
    <xf borderId="32" fillId="5" fontId="7" numFmtId="0" xfId="0" applyAlignment="1" applyBorder="1" applyFont="1">
      <alignment shrinkToFit="0" vertical="top" wrapText="0"/>
    </xf>
    <xf borderId="33" fillId="5" fontId="5" numFmtId="0" xfId="0" applyAlignment="1" applyBorder="1" applyFont="1">
      <alignment vertical="top"/>
    </xf>
    <xf borderId="0" fillId="0" fontId="122" numFmtId="0" xfId="0" applyAlignment="1" applyFont="1">
      <alignment horizontal="center" shrinkToFit="0" vertical="center" wrapText="0"/>
    </xf>
    <xf borderId="59" fillId="11" fontId="36" numFmtId="0" xfId="0" applyAlignment="1" applyBorder="1" applyFill="1" applyFont="1">
      <alignment shrinkToFit="0" vertical="bottom" wrapText="0"/>
    </xf>
    <xf borderId="35" fillId="12" fontId="122" numFmtId="0" xfId="0" applyAlignment="1" applyBorder="1" applyFill="1" applyFont="1">
      <alignment horizontal="center" shrinkToFit="0" vertical="center" wrapText="1"/>
    </xf>
    <xf borderId="36" fillId="12" fontId="122" numFmtId="0" xfId="0" applyAlignment="1" applyBorder="1" applyFont="1">
      <alignment horizontal="center" shrinkToFit="0" vertical="center" wrapText="1"/>
    </xf>
    <xf borderId="36" fillId="12" fontId="122" numFmtId="0" xfId="0" applyAlignment="1" applyBorder="1" applyFont="1">
      <alignment horizontal="center" shrinkToFit="0" vertical="center" wrapText="0"/>
    </xf>
    <xf borderId="36" fillId="12" fontId="122" numFmtId="0" xfId="0" applyAlignment="1" applyBorder="1" applyFont="1">
      <alignment horizontal="center" readingOrder="0" shrinkToFit="0" vertical="center" wrapText="1"/>
    </xf>
    <xf borderId="34" fillId="12" fontId="122" numFmtId="0" xfId="0" applyAlignment="1" applyBorder="1" applyFont="1">
      <alignment horizontal="center" shrinkToFit="0" vertical="center" wrapText="1"/>
    </xf>
    <xf borderId="60" fillId="0" fontId="3" numFmtId="0" xfId="0" applyBorder="1" applyFont="1"/>
    <xf borderId="61" fillId="12" fontId="122" numFmtId="0" xfId="0" applyAlignment="1" applyBorder="1" applyFont="1">
      <alignment horizontal="center" shrinkToFit="0" vertical="bottom" wrapText="1"/>
    </xf>
    <xf borderId="11" fillId="0" fontId="3" numFmtId="0" xfId="0" applyBorder="1" applyFont="1"/>
    <xf borderId="13" fillId="0" fontId="3" numFmtId="0" xfId="0" applyBorder="1" applyFont="1"/>
    <xf borderId="15" fillId="12" fontId="122" numFmtId="0" xfId="0" applyAlignment="1" applyBorder="1" applyFont="1">
      <alignment horizontal="center" shrinkToFit="0" vertical="center" wrapText="1"/>
    </xf>
    <xf borderId="62" fillId="12" fontId="122" numFmtId="0" xfId="0" applyAlignment="1" applyBorder="1" applyFont="1">
      <alignment horizontal="center" shrinkToFit="0" vertical="center" wrapText="1"/>
    </xf>
    <xf borderId="63" fillId="12" fontId="122" numFmtId="0" xfId="0" applyAlignment="1" applyBorder="1" applyFont="1">
      <alignment horizontal="center" shrinkToFit="0" vertical="bottom" wrapText="1"/>
    </xf>
    <xf borderId="15" fillId="12" fontId="122" numFmtId="0" xfId="0" applyAlignment="1" applyBorder="1" applyFont="1">
      <alignment horizontal="center" readingOrder="0" shrinkToFit="0" vertical="center" wrapText="1"/>
    </xf>
    <xf borderId="64" fillId="0" fontId="36" numFmtId="0" xfId="0" applyAlignment="1" applyBorder="1" applyFont="1">
      <alignment horizontal="right" readingOrder="0" shrinkToFit="0" vertical="center" wrapText="1"/>
    </xf>
    <xf borderId="21" fillId="0" fontId="151" numFmtId="0" xfId="0" applyAlignment="1" applyBorder="1" applyFont="1">
      <alignment readingOrder="0" vertical="bottom"/>
    </xf>
    <xf borderId="20" fillId="0" fontId="152" numFmtId="0" xfId="0" applyAlignment="1" applyBorder="1" applyFont="1">
      <alignment readingOrder="0" vertical="bottom"/>
    </xf>
    <xf borderId="20" fillId="0" fontId="36" numFmtId="0" xfId="0" applyAlignment="1" applyBorder="1" applyFont="1">
      <alignment readingOrder="0" vertical="bottom"/>
    </xf>
    <xf borderId="21" fillId="13" fontId="151" numFmtId="0" xfId="0" applyAlignment="1" applyBorder="1" applyFill="1" applyFont="1">
      <alignment horizontal="right" readingOrder="0" shrinkToFit="0" vertical="bottom" wrapText="0"/>
    </xf>
    <xf borderId="21" fillId="14" fontId="151" numFmtId="0" xfId="0" applyAlignment="1" applyBorder="1" applyFill="1" applyFont="1">
      <alignment horizontal="right" readingOrder="0" shrinkToFit="0" vertical="bottom" wrapText="0"/>
    </xf>
    <xf borderId="21" fillId="15" fontId="151" numFmtId="0" xfId="0" applyAlignment="1" applyBorder="1" applyFill="1" applyFont="1">
      <alignment horizontal="right" readingOrder="0" shrinkToFit="0" vertical="bottom" wrapText="0"/>
    </xf>
    <xf borderId="21" fillId="16" fontId="151" numFmtId="0" xfId="0" applyAlignment="1" applyBorder="1" applyFill="1" applyFont="1">
      <alignment horizontal="right" readingOrder="0" shrinkToFit="0" vertical="bottom" wrapText="0"/>
    </xf>
    <xf borderId="27" fillId="14" fontId="151" numFmtId="0" xfId="0" applyAlignment="1" applyBorder="1" applyFont="1">
      <alignment horizontal="right" readingOrder="0" vertical="bottom"/>
    </xf>
    <xf borderId="27" fillId="16" fontId="151" numFmtId="0" xfId="0" applyAlignment="1" applyBorder="1" applyFont="1">
      <alignment horizontal="right" readingOrder="0" vertical="bottom"/>
    </xf>
    <xf borderId="52" fillId="14" fontId="36" numFmtId="0" xfId="0" applyAlignment="1" applyBorder="1" applyFont="1">
      <alignment horizontal="right" readingOrder="0" shrinkToFit="0" vertical="bottom" wrapText="1"/>
    </xf>
    <xf borderId="52" fillId="16" fontId="36" numFmtId="0" xfId="0" applyAlignment="1" applyBorder="1" applyFont="1">
      <alignment horizontal="right" readingOrder="0" shrinkToFit="0" vertical="bottom" wrapText="1"/>
    </xf>
    <xf borderId="65" fillId="16" fontId="36" numFmtId="0" xfId="0" applyAlignment="1" applyBorder="1" applyFont="1">
      <alignment horizontal="right" readingOrder="0" shrinkToFit="0" vertical="bottom" wrapText="1"/>
    </xf>
    <xf borderId="52" fillId="14" fontId="36" numFmtId="0" xfId="0" applyAlignment="1" applyBorder="1" applyFont="1">
      <alignment readingOrder="0" shrinkToFit="0" vertical="bottom" wrapText="1"/>
    </xf>
    <xf borderId="52" fillId="16" fontId="36" numFmtId="0" xfId="0" applyAlignment="1" applyBorder="1" applyFont="1">
      <alignment readingOrder="0" shrinkToFit="0" vertical="bottom" wrapText="1"/>
    </xf>
    <xf borderId="52" fillId="14" fontId="36" numFmtId="0" xfId="0" applyAlignment="1" applyBorder="1" applyFont="1">
      <alignment shrinkToFit="0" vertical="bottom" wrapText="1"/>
    </xf>
    <xf borderId="52" fillId="16" fontId="36" numFmtId="0" xfId="0" applyAlignment="1" applyBorder="1" applyFont="1">
      <alignment shrinkToFit="0" vertical="bottom" wrapText="1"/>
    </xf>
    <xf borderId="49" fillId="0" fontId="122" numFmtId="0" xfId="0" applyAlignment="1" applyBorder="1" applyFont="1">
      <alignment horizontal="right" vertical="bottom"/>
    </xf>
    <xf borderId="48" fillId="0" fontId="122" numFmtId="0" xfId="0" applyAlignment="1" applyBorder="1" applyFont="1">
      <alignment horizontal="right" vertical="bottom"/>
    </xf>
    <xf borderId="21" fillId="14" fontId="36" numFmtId="0" xfId="0" applyAlignment="1" applyBorder="1" applyFont="1">
      <alignment horizontal="right" shrinkToFit="0" vertical="bottom" wrapText="1"/>
    </xf>
    <xf borderId="21" fillId="16" fontId="36" numFmtId="0" xfId="0" applyAlignment="1" applyBorder="1" applyFont="1">
      <alignment horizontal="right" shrinkToFit="0" vertical="bottom" wrapText="1"/>
    </xf>
    <xf borderId="22" fillId="0" fontId="153" numFmtId="0" xfId="0" applyAlignment="1" applyBorder="1" applyFont="1">
      <alignment horizontal="left"/>
    </xf>
    <xf borderId="66" fillId="0" fontId="36" numFmtId="0" xfId="0" applyAlignment="1" applyBorder="1" applyFont="1">
      <alignment horizontal="right" readingOrder="0" shrinkToFit="0" vertical="center" wrapText="1"/>
    </xf>
    <xf borderId="19" fillId="0" fontId="151" numFmtId="0" xfId="0" applyAlignment="1" applyBorder="1" applyFont="1">
      <alignment readingOrder="0" shrinkToFit="0" vertical="bottom" wrapText="0"/>
    </xf>
    <xf borderId="19" fillId="0" fontId="154" numFmtId="0" xfId="0" applyAlignment="1" applyBorder="1" applyFont="1">
      <alignment readingOrder="0" vertical="bottom"/>
    </xf>
    <xf borderId="19" fillId="0" fontId="36" numFmtId="0" xfId="0" applyAlignment="1" applyBorder="1" applyFont="1">
      <alignment readingOrder="0" vertical="bottom"/>
    </xf>
    <xf borderId="18" fillId="13" fontId="151" numFmtId="0" xfId="0" applyAlignment="1" applyBorder="1" applyFont="1">
      <alignment horizontal="right" readingOrder="0" vertical="bottom"/>
    </xf>
    <xf borderId="18" fillId="14" fontId="151" numFmtId="0" xfId="0" applyAlignment="1" applyBorder="1" applyFont="1">
      <alignment horizontal="right" readingOrder="0" vertical="bottom"/>
    </xf>
    <xf borderId="18" fillId="15" fontId="151" numFmtId="0" xfId="0" applyAlignment="1" applyBorder="1" applyFont="1">
      <alignment horizontal="right" readingOrder="0" vertical="bottom"/>
    </xf>
    <xf borderId="18" fillId="16" fontId="151" numFmtId="0" xfId="0" applyAlignment="1" applyBorder="1" applyFont="1">
      <alignment horizontal="right" readingOrder="0" vertical="bottom"/>
    </xf>
    <xf borderId="22" fillId="14" fontId="36" numFmtId="0" xfId="0" applyAlignment="1" applyBorder="1" applyFont="1">
      <alignment horizontal="right" readingOrder="0" shrinkToFit="0" vertical="bottom" wrapText="1"/>
    </xf>
    <xf borderId="22" fillId="16" fontId="36" numFmtId="0" xfId="0" applyAlignment="1" applyBorder="1" applyFont="1">
      <alignment horizontal="right" readingOrder="0" shrinkToFit="0" vertical="bottom" wrapText="1"/>
    </xf>
    <xf borderId="25" fillId="16" fontId="36" numFmtId="0" xfId="0" applyAlignment="1" applyBorder="1" applyFont="1">
      <alignment horizontal="right" readingOrder="0" shrinkToFit="0" vertical="bottom" wrapText="1"/>
    </xf>
    <xf borderId="22" fillId="14" fontId="36" numFmtId="0" xfId="0" applyAlignment="1" applyBorder="1" applyFont="1">
      <alignment readingOrder="0" shrinkToFit="0" vertical="bottom" wrapText="1"/>
    </xf>
    <xf borderId="22" fillId="16" fontId="36" numFmtId="0" xfId="0" applyAlignment="1" applyBorder="1" applyFont="1">
      <alignment readingOrder="0" shrinkToFit="0" vertical="bottom" wrapText="1"/>
    </xf>
    <xf borderId="22" fillId="14" fontId="36" numFmtId="0" xfId="0" applyAlignment="1" applyBorder="1" applyFont="1">
      <alignment shrinkToFit="0" vertical="bottom" wrapText="1"/>
    </xf>
    <xf borderId="22" fillId="16" fontId="36" numFmtId="0" xfId="0" applyAlignment="1" applyBorder="1" applyFont="1">
      <alignment shrinkToFit="0" vertical="bottom" wrapText="1"/>
    </xf>
    <xf borderId="22" fillId="0" fontId="153" numFmtId="0" xfId="0" applyAlignment="1" applyBorder="1" applyFont="1">
      <alignment horizontal="left" vertical="top"/>
    </xf>
    <xf borderId="19" fillId="0" fontId="151" numFmtId="0" xfId="0" applyAlignment="1" applyBorder="1" applyFont="1">
      <alignment readingOrder="0" vertical="bottom"/>
    </xf>
    <xf borderId="19" fillId="0" fontId="151" numFmtId="0" xfId="0" applyAlignment="1" applyBorder="1" applyFont="1">
      <alignment readingOrder="0" vertical="top"/>
    </xf>
    <xf borderId="18" fillId="13" fontId="151" numFmtId="0" xfId="0" applyAlignment="1" applyBorder="1" applyFont="1">
      <alignment horizontal="right" readingOrder="0" shrinkToFit="0" vertical="bottom" wrapText="0"/>
    </xf>
    <xf borderId="18" fillId="14" fontId="151" numFmtId="0" xfId="0" applyAlignment="1" applyBorder="1" applyFont="1">
      <alignment horizontal="right" readingOrder="0" shrinkToFit="0" vertical="bottom" wrapText="0"/>
    </xf>
    <xf borderId="18" fillId="15" fontId="151" numFmtId="0" xfId="0" applyAlignment="1" applyBorder="1" applyFont="1">
      <alignment horizontal="right" readingOrder="0" shrinkToFit="0" vertical="bottom" wrapText="0"/>
    </xf>
    <xf borderId="18" fillId="16" fontId="151" numFmtId="0" xfId="0" applyAlignment="1" applyBorder="1" applyFont="1">
      <alignment horizontal="right" readingOrder="0" shrinkToFit="0" vertical="bottom" wrapText="0"/>
    </xf>
    <xf borderId="22" fillId="14" fontId="151" numFmtId="0" xfId="0" applyAlignment="1" applyBorder="1" applyFont="1">
      <alignment readingOrder="0" shrinkToFit="0" vertical="bottom" wrapText="1"/>
    </xf>
    <xf borderId="22" fillId="16" fontId="151" numFmtId="0" xfId="0" applyAlignment="1" applyBorder="1" applyFont="1">
      <alignment readingOrder="0" shrinkToFit="0" vertical="bottom" wrapText="1"/>
    </xf>
    <xf borderId="22" fillId="14" fontId="155" numFmtId="0" xfId="0" applyAlignment="1" applyBorder="1" applyFont="1">
      <alignment readingOrder="0" shrinkToFit="0" vertical="bottom" wrapText="1"/>
    </xf>
    <xf borderId="22" fillId="16" fontId="155" numFmtId="0" xfId="0" applyAlignment="1" applyBorder="1" applyFont="1">
      <alignment readingOrder="0" shrinkToFit="0" vertical="bottom" wrapText="1"/>
    </xf>
    <xf borderId="22" fillId="14" fontId="155" numFmtId="0" xfId="0" applyAlignment="1" applyBorder="1" applyFont="1">
      <alignment shrinkToFit="0" vertical="bottom" wrapText="1"/>
    </xf>
    <xf borderId="22" fillId="16" fontId="155" numFmtId="0" xfId="0" applyAlignment="1" applyBorder="1" applyFont="1">
      <alignment shrinkToFit="0" vertical="bottom" wrapText="1"/>
    </xf>
    <xf borderId="59" fillId="11" fontId="36" numFmtId="0" xfId="0" applyAlignment="1" applyBorder="1" applyFont="1">
      <alignment readingOrder="0" shrinkToFit="0" vertical="bottom" wrapText="0"/>
    </xf>
    <xf borderId="18" fillId="0" fontId="151" numFmtId="0" xfId="0" applyAlignment="1" applyBorder="1" applyFont="1">
      <alignment readingOrder="0" vertical="bottom"/>
    </xf>
    <xf borderId="22" fillId="14" fontId="36" numFmtId="0" xfId="0" applyAlignment="1" applyBorder="1" applyFont="1">
      <alignment horizontal="right" shrinkToFit="0" vertical="bottom" wrapText="1"/>
    </xf>
    <xf borderId="22" fillId="16" fontId="36" numFmtId="0" xfId="0" applyAlignment="1" applyBorder="1" applyFont="1">
      <alignment horizontal="right" shrinkToFit="0" vertical="bottom" wrapText="1"/>
    </xf>
    <xf borderId="19" fillId="0" fontId="156" numFmtId="0" xfId="0" applyAlignment="1" applyBorder="1" applyFont="1">
      <alignment readingOrder="0" vertical="bottom"/>
    </xf>
    <xf borderId="19" fillId="0" fontId="36" numFmtId="0" xfId="0" applyAlignment="1" applyBorder="1" applyFont="1">
      <alignment readingOrder="0" shrinkToFit="0" vertical="bottom" wrapText="1"/>
    </xf>
    <xf borderId="0" fillId="0" fontId="157" numFmtId="0" xfId="0" applyAlignment="1" applyFont="1">
      <alignment readingOrder="0"/>
    </xf>
    <xf borderId="0" fillId="0" fontId="36" numFmtId="0" xfId="0" applyAlignment="1" applyFont="1">
      <alignment readingOrder="0"/>
    </xf>
    <xf borderId="19" fillId="0" fontId="151" numFmtId="0" xfId="0" applyAlignment="1" applyBorder="1" applyFont="1">
      <alignment readingOrder="0"/>
    </xf>
    <xf borderId="18" fillId="0" fontId="158" numFmtId="0" xfId="0" applyAlignment="1" applyBorder="1" applyFont="1">
      <alignment readingOrder="0"/>
    </xf>
    <xf borderId="18" fillId="0" fontId="36" numFmtId="0" xfId="0" applyAlignment="1" applyBorder="1" applyFont="1">
      <alignment readingOrder="0" vertical="bottom"/>
    </xf>
    <xf borderId="22" fillId="0" fontId="151" numFmtId="0" xfId="0" applyAlignment="1" applyBorder="1" applyFont="1">
      <alignment horizontal="left" readingOrder="0" vertical="top"/>
    </xf>
    <xf borderId="18" fillId="0" fontId="159" numFmtId="0" xfId="0" applyAlignment="1" applyBorder="1" applyFont="1">
      <alignment readingOrder="0" shrinkToFit="0" vertical="center" wrapText="1"/>
    </xf>
    <xf borderId="18" fillId="0" fontId="151" numFmtId="0" xfId="0" applyAlignment="1" applyBorder="1" applyFont="1">
      <alignment readingOrder="0" shrinkToFit="0" vertical="bottom" wrapText="1"/>
    </xf>
    <xf borderId="18" fillId="13" fontId="36" numFmtId="0" xfId="0" applyAlignment="1" applyBorder="1" applyFont="1">
      <alignment readingOrder="0" vertical="bottom"/>
    </xf>
    <xf borderId="18" fillId="14" fontId="36" numFmtId="0" xfId="0" applyAlignment="1" applyBorder="1" applyFont="1">
      <alignment readingOrder="0" vertical="bottom"/>
    </xf>
    <xf borderId="18" fillId="16" fontId="36" numFmtId="0" xfId="0" applyAlignment="1" applyBorder="1" applyFont="1">
      <alignment readingOrder="0" vertical="bottom"/>
    </xf>
    <xf borderId="19" fillId="0" fontId="151" numFmtId="0" xfId="0" applyAlignment="1" applyBorder="1" applyFont="1">
      <alignment horizontal="left" readingOrder="0" vertical="top"/>
    </xf>
    <xf borderId="18" fillId="13" fontId="36" numFmtId="0" xfId="0" applyAlignment="1" applyBorder="1" applyFont="1">
      <alignment horizontal="right" readingOrder="0" shrinkToFit="0" vertical="bottom" wrapText="1"/>
    </xf>
    <xf borderId="18" fillId="14" fontId="36" numFmtId="0" xfId="0" applyAlignment="1" applyBorder="1" applyFont="1">
      <alignment horizontal="right" readingOrder="0" shrinkToFit="0" vertical="bottom" wrapText="1"/>
    </xf>
    <xf borderId="18" fillId="16" fontId="36" numFmtId="0" xfId="0" applyAlignment="1" applyBorder="1" applyFont="1">
      <alignment horizontal="right" readingOrder="0" shrinkToFit="0" vertical="bottom" wrapText="1"/>
    </xf>
    <xf borderId="19" fillId="0" fontId="36" numFmtId="0" xfId="0" applyAlignment="1" applyBorder="1" applyFont="1">
      <alignment shrinkToFit="0" vertical="center" wrapText="1"/>
    </xf>
    <xf borderId="18" fillId="0" fontId="36" numFmtId="0" xfId="0" applyAlignment="1" applyBorder="1" applyFont="1">
      <alignment shrinkToFit="0" vertical="center" wrapText="1"/>
    </xf>
    <xf borderId="18" fillId="0" fontId="36" numFmtId="0" xfId="0" applyAlignment="1" applyBorder="1" applyFont="1">
      <alignment vertical="bottom"/>
    </xf>
    <xf borderId="18" fillId="13" fontId="36" numFmtId="0" xfId="0" applyAlignment="1" applyBorder="1" applyFont="1">
      <alignment vertical="bottom"/>
    </xf>
    <xf borderId="18" fillId="14" fontId="36" numFmtId="0" xfId="0" applyAlignment="1" applyBorder="1" applyFont="1">
      <alignment vertical="bottom"/>
    </xf>
    <xf borderId="18" fillId="16" fontId="36" numFmtId="0" xfId="0" applyAlignment="1" applyBorder="1" applyFont="1">
      <alignment vertical="bottom"/>
    </xf>
    <xf borderId="25" fillId="16" fontId="36" numFmtId="0" xfId="0" applyAlignment="1" applyBorder="1" applyFont="1">
      <alignment horizontal="right" shrinkToFit="0" vertical="bottom" wrapText="1"/>
    </xf>
    <xf borderId="18" fillId="0" fontId="160" numFmtId="0" xfId="0" applyAlignment="1" applyBorder="1" applyFont="1">
      <alignment vertical="bottom"/>
    </xf>
    <xf borderId="18" fillId="13" fontId="36" numFmtId="0" xfId="0" applyAlignment="1" applyBorder="1" applyFont="1">
      <alignment horizontal="right" shrinkToFit="0" vertical="bottom" wrapText="1"/>
    </xf>
    <xf borderId="18" fillId="14" fontId="36" numFmtId="0" xfId="0" applyAlignment="1" applyBorder="1" applyFont="1">
      <alignment horizontal="right" shrinkToFit="0" vertical="bottom" wrapText="1"/>
    </xf>
    <xf borderId="18" fillId="16" fontId="36" numFmtId="0" xfId="0" applyAlignment="1" applyBorder="1" applyFont="1">
      <alignment horizontal="right" shrinkToFit="0" vertical="bottom" wrapText="1"/>
    </xf>
    <xf borderId="18" fillId="0" fontId="161" numFmtId="0" xfId="0" applyAlignment="1" applyBorder="1" applyFont="1">
      <alignment vertical="bottom"/>
    </xf>
    <xf borderId="18" fillId="4" fontId="162" numFmtId="0" xfId="0" applyAlignment="1" applyBorder="1" applyFont="1">
      <alignment shrinkToFit="0" wrapText="1"/>
    </xf>
    <xf borderId="18" fillId="5" fontId="163" numFmtId="0" xfId="0" applyAlignment="1" applyBorder="1" applyFont="1">
      <alignment vertical="bottom"/>
    </xf>
    <xf borderId="18" fillId="5" fontId="36" numFmtId="0" xfId="0" applyAlignment="1" applyBorder="1" applyFont="1">
      <alignment horizontal="right" shrinkToFit="0" vertical="bottom" wrapText="1"/>
    </xf>
    <xf borderId="38" fillId="0" fontId="164" numFmtId="0" xfId="0" applyAlignment="1" applyBorder="1" applyFont="1">
      <alignment vertical="bottom"/>
    </xf>
    <xf borderId="25" fillId="16" fontId="36" numFmtId="0" xfId="0" applyAlignment="1" applyBorder="1" applyFont="1">
      <alignment shrinkToFit="0" vertical="bottom" wrapText="1"/>
    </xf>
    <xf borderId="66" fillId="0" fontId="36" numFmtId="0" xfId="0" applyAlignment="1" applyBorder="1" applyFont="1">
      <alignment horizontal="right" readingOrder="0" shrinkToFit="0" vertical="bottom" wrapText="1"/>
    </xf>
    <xf borderId="22" fillId="0" fontId="36" numFmtId="0" xfId="0" applyAlignment="1" applyBorder="1" applyFont="1">
      <alignment horizontal="left" vertical="bottom"/>
    </xf>
    <xf borderId="18" fillId="0" fontId="36" numFmtId="0" xfId="0" applyAlignment="1" applyBorder="1" applyFont="1">
      <alignment horizontal="left" shrinkToFit="0" vertical="center" wrapText="0"/>
    </xf>
    <xf borderId="27" fillId="13" fontId="36" numFmtId="0" xfId="0" applyAlignment="1" applyBorder="1" applyFont="1">
      <alignment shrinkToFit="0" vertical="bottom" wrapText="1"/>
    </xf>
    <xf borderId="52" fillId="14" fontId="36" numFmtId="0" xfId="0" applyAlignment="1" applyBorder="1" applyFont="1">
      <alignment horizontal="right" shrinkToFit="0" vertical="bottom" wrapText="1"/>
    </xf>
    <xf borderId="52" fillId="16" fontId="36" numFmtId="0" xfId="0" applyAlignment="1" applyBorder="1" applyFont="1">
      <alignment horizontal="right" shrinkToFit="0" vertical="bottom" wrapText="1"/>
    </xf>
    <xf borderId="64" fillId="0" fontId="36" numFmtId="0" xfId="0" applyAlignment="1" applyBorder="1" applyFont="1">
      <alignment horizontal="right" readingOrder="0" shrinkToFit="0" vertical="bottom" wrapText="1"/>
    </xf>
    <xf borderId="27" fillId="0" fontId="36" numFmtId="0" xfId="0" applyAlignment="1" applyBorder="1" applyFont="1">
      <alignment shrinkToFit="0" vertical="bottom" wrapText="1"/>
    </xf>
    <xf borderId="18" fillId="0" fontId="36" numFmtId="0" xfId="0" applyAlignment="1" applyBorder="1" applyFont="1">
      <alignment shrinkToFit="0" vertical="bottom" wrapText="0"/>
    </xf>
    <xf borderId="22" fillId="0" fontId="36" numFmtId="0" xfId="0" applyAlignment="1" applyBorder="1" applyFont="1">
      <alignment shrinkToFit="0" vertical="bottom" wrapText="1"/>
    </xf>
    <xf borderId="22" fillId="13" fontId="36" numFmtId="0" xfId="0" applyAlignment="1" applyBorder="1" applyFont="1">
      <alignment shrinkToFit="0" vertical="bottom" wrapText="1"/>
    </xf>
    <xf borderId="67" fillId="0" fontId="122" numFmtId="0" xfId="0" applyAlignment="1" applyBorder="1" applyFont="1">
      <alignment horizontal="center" shrinkToFit="0" vertical="bottom" wrapText="1"/>
    </xf>
    <xf borderId="45" fillId="0" fontId="3" numFmtId="0" xfId="0" applyBorder="1" applyFont="1"/>
    <xf borderId="56" fillId="0" fontId="3" numFmtId="0" xfId="0" applyBorder="1" applyFont="1"/>
    <xf borderId="56" fillId="13" fontId="36" numFmtId="0" xfId="0" applyAlignment="1" applyBorder="1" applyFont="1">
      <alignment vertical="bottom"/>
    </xf>
    <xf borderId="56" fillId="14" fontId="36" numFmtId="0" xfId="0" applyAlignment="1" applyBorder="1" applyFont="1">
      <alignment vertical="bottom"/>
    </xf>
    <xf borderId="56" fillId="16" fontId="36" numFmtId="0" xfId="0" applyAlignment="1" applyBorder="1" applyFont="1">
      <alignment vertical="bottom"/>
    </xf>
    <xf borderId="56" fillId="14" fontId="122" numFmtId="0" xfId="0" applyAlignment="1" applyBorder="1" applyFont="1">
      <alignment horizontal="right" shrinkToFit="0" vertical="bottom" wrapText="1"/>
    </xf>
    <xf borderId="68" fillId="5" fontId="36" numFmtId="0" xfId="0" applyAlignment="1" applyBorder="1" applyFont="1">
      <alignment vertical="bottom"/>
    </xf>
    <xf borderId="27" fillId="14" fontId="122" numFmtId="0" xfId="0" applyAlignment="1" applyBorder="1" applyFont="1">
      <alignment horizontal="right" shrinkToFit="0" vertical="bottom" wrapText="1"/>
    </xf>
    <xf borderId="27" fillId="16" fontId="122" numFmtId="0" xfId="0" applyAlignment="1" applyBorder="1" applyFont="1">
      <alignment horizontal="right" shrinkToFit="0" vertical="bottom" wrapText="1"/>
    </xf>
    <xf borderId="69" fillId="0" fontId="23" numFmtId="0" xfId="0" applyAlignment="1" applyBorder="1" applyFont="1">
      <alignment shrinkToFit="0" vertical="bottom" wrapText="1"/>
    </xf>
    <xf borderId="69" fillId="0" fontId="23" numFmtId="0" xfId="0" applyAlignment="1" applyBorder="1" applyFont="1">
      <alignment shrinkToFit="0" vertical="bottom" wrapText="0"/>
    </xf>
    <xf borderId="0" fillId="0" fontId="23" numFmtId="0" xfId="0" applyAlignment="1" applyFont="1">
      <alignment shrinkToFit="0" vertical="bottom" wrapText="1"/>
    </xf>
    <xf borderId="59" fillId="11" fontId="7" numFmtId="0" xfId="0" applyAlignment="1" applyBorder="1" applyFont="1">
      <alignment shrinkToFit="0" vertical="bottom" wrapText="0"/>
    </xf>
    <xf borderId="70" fillId="0" fontId="23" numFmtId="0" xfId="0" applyAlignment="1" applyBorder="1" applyFont="1">
      <alignment shrinkToFit="0" vertical="bottom" wrapText="1"/>
    </xf>
    <xf borderId="70" fillId="0" fontId="23" numFmtId="0" xfId="0" applyAlignment="1" applyBorder="1" applyFont="1">
      <alignment shrinkToFit="0" vertical="bottom" wrapText="0"/>
    </xf>
    <xf borderId="70" fillId="0" fontId="23" numFmtId="0" xfId="0" applyAlignment="1" applyBorder="1" applyFont="1">
      <alignment horizontal="right" shrinkToFit="0" vertical="bottom" wrapText="1"/>
    </xf>
    <xf borderId="0" fillId="0" fontId="23" numFmtId="0" xfId="0" applyAlignment="1" applyFont="1">
      <alignment horizontal="right" shrinkToFit="0" vertical="bottom" wrapText="1"/>
    </xf>
    <xf borderId="0" fillId="0" fontId="36" numFmtId="0" xfId="0" applyAlignment="1" applyFont="1">
      <alignment shrinkToFit="0" vertical="bottom" wrapText="0"/>
    </xf>
    <xf borderId="0" fillId="0" fontId="36" numFmtId="0" xfId="0" applyAlignment="1" applyFont="1">
      <alignment readingOrder="0" vertical="bottom"/>
    </xf>
    <xf borderId="0" fillId="0" fontId="36" numFmtId="0" xfId="0" applyAlignment="1" applyFont="1">
      <alignment vertical="bottom"/>
    </xf>
    <xf borderId="0" fillId="0" fontId="36" numFmtId="0" xfId="0" applyAlignment="1" applyFont="1">
      <alignment horizontal="center" vertical="center"/>
    </xf>
    <xf borderId="0" fillId="0" fontId="122" numFmtId="0" xfId="0" applyAlignment="1" applyFont="1">
      <alignment horizontal="center" vertical="bottom"/>
    </xf>
    <xf borderId="38" fillId="17" fontId="121" numFmtId="0" xfId="0" applyAlignment="1" applyBorder="1" applyFill="1" applyFont="1">
      <alignment horizontal="center" vertical="bottom"/>
    </xf>
    <xf borderId="38" fillId="17" fontId="121" numFmtId="0" xfId="0" applyAlignment="1" applyBorder="1" applyFont="1">
      <alignment horizontal="center" vertical="center"/>
    </xf>
    <xf borderId="13" fillId="17" fontId="121" numFmtId="0" xfId="0" applyAlignment="1" applyBorder="1" applyFont="1">
      <alignment horizontal="center" readingOrder="0" vertical="bottom"/>
    </xf>
    <xf borderId="12" fillId="17" fontId="121" numFmtId="0" xfId="0" applyAlignment="1" applyBorder="1" applyFont="1">
      <alignment horizontal="center" vertical="bottom"/>
    </xf>
    <xf borderId="38" fillId="18" fontId="121" numFmtId="0" xfId="0" applyAlignment="1" applyBorder="1" applyFill="1" applyFont="1">
      <alignment horizontal="center" vertical="bottom"/>
    </xf>
    <xf borderId="38" fillId="18" fontId="121" numFmtId="0" xfId="0" applyAlignment="1" applyBorder="1" applyFont="1">
      <alignment horizontal="center" readingOrder="0" vertical="bottom"/>
    </xf>
    <xf borderId="35" fillId="0" fontId="122" numFmtId="0" xfId="0" applyAlignment="1" applyBorder="1" applyFont="1">
      <alignment horizontal="center" vertical="center"/>
    </xf>
    <xf borderId="36" fillId="0" fontId="122" numFmtId="0" xfId="0" applyAlignment="1" applyBorder="1" applyFont="1">
      <alignment horizontal="center" vertical="center"/>
    </xf>
    <xf borderId="20" fillId="0" fontId="165" numFmtId="0" xfId="0" applyAlignment="1" applyBorder="1" applyFont="1">
      <alignment horizontal="center" vertical="center"/>
    </xf>
    <xf borderId="36" fillId="0" fontId="36" numFmtId="0" xfId="0" applyAlignment="1" applyBorder="1" applyFont="1">
      <alignment shrinkToFit="0" vertical="center" wrapText="1"/>
    </xf>
    <xf borderId="37" fillId="0" fontId="36" numFmtId="0" xfId="0" applyAlignment="1" applyBorder="1" applyFont="1">
      <alignment shrinkToFit="0" vertical="top" wrapText="1"/>
    </xf>
    <xf borderId="38" fillId="0" fontId="36" numFmtId="0" xfId="0" applyAlignment="1" applyBorder="1" applyFont="1">
      <alignment horizontal="center" readingOrder="0"/>
    </xf>
    <xf borderId="36" fillId="5" fontId="36" numFmtId="0" xfId="0" applyAlignment="1" applyBorder="1" applyFont="1">
      <alignment horizontal="left" vertical="center"/>
    </xf>
    <xf borderId="71" fillId="5" fontId="166" numFmtId="49" xfId="0" applyAlignment="1" applyBorder="1" applyFont="1" applyNumberFormat="1">
      <alignment horizontal="center" vertical="center"/>
    </xf>
    <xf borderId="36" fillId="5" fontId="122" numFmtId="10" xfId="0" applyAlignment="1" applyBorder="1" applyFont="1" applyNumberFormat="1">
      <alignment horizontal="center" vertical="center"/>
    </xf>
    <xf borderId="36" fillId="5" fontId="122" numFmtId="0" xfId="0" applyAlignment="1" applyBorder="1" applyFont="1">
      <alignment horizontal="left" vertical="center"/>
    </xf>
    <xf borderId="36" fillId="5" fontId="36" numFmtId="0" xfId="0" applyAlignment="1" applyBorder="1" applyFont="1">
      <alignment vertical="center"/>
    </xf>
    <xf borderId="39" fillId="5" fontId="1" numFmtId="10" xfId="0" applyAlignment="1" applyBorder="1" applyFont="1" applyNumberFormat="1">
      <alignment horizontal="center" vertical="center"/>
    </xf>
    <xf borderId="54" fillId="4" fontId="121" numFmtId="0" xfId="0" applyAlignment="1" applyBorder="1" applyFont="1">
      <alignment horizontal="center" vertical="bottom"/>
    </xf>
    <xf borderId="27" fillId="0" fontId="3" numFmtId="0" xfId="0" applyBorder="1" applyFont="1"/>
    <xf borderId="0" fillId="5" fontId="122" numFmtId="0" xfId="0" applyAlignment="1" applyFont="1">
      <alignment horizontal="center" vertical="top"/>
    </xf>
    <xf borderId="72" fillId="0" fontId="3" numFmtId="0" xfId="0" applyBorder="1" applyFont="1"/>
    <xf borderId="37" fillId="0" fontId="3" numFmtId="0" xfId="0" applyBorder="1" applyFont="1"/>
    <xf borderId="19" fillId="0" fontId="165" numFmtId="0" xfId="0" applyAlignment="1" applyBorder="1" applyFont="1">
      <alignment horizontal="center" vertical="center"/>
    </xf>
    <xf borderId="38" fillId="0" fontId="3" numFmtId="0" xfId="0" applyBorder="1" applyFont="1"/>
    <xf borderId="73" fillId="0" fontId="3" numFmtId="0" xfId="0" applyBorder="1" applyFont="1"/>
    <xf borderId="18" fillId="4" fontId="167" numFmtId="0" xfId="0" applyAlignment="1" applyBorder="1" applyFont="1">
      <alignment horizontal="center" vertical="bottom"/>
    </xf>
    <xf borderId="0" fillId="5" fontId="121" numFmtId="0" xfId="0" applyAlignment="1" applyFont="1">
      <alignment horizontal="center" vertical="bottom"/>
    </xf>
    <xf borderId="18" fillId="0" fontId="3" numFmtId="0" xfId="0" applyBorder="1" applyFont="1"/>
    <xf borderId="18" fillId="0" fontId="36" numFmtId="0" xfId="0" applyAlignment="1" applyBorder="1" applyFont="1">
      <alignment horizontal="center" vertical="bottom"/>
    </xf>
    <xf borderId="22" fillId="0" fontId="165" numFmtId="0" xfId="0" applyAlignment="1" applyBorder="1" applyFont="1">
      <alignment horizontal="center" vertical="center"/>
    </xf>
    <xf borderId="29" fillId="5" fontId="36" numFmtId="0" xfId="0" applyAlignment="1" applyBorder="1" applyFont="1">
      <alignment horizontal="left" vertical="center"/>
    </xf>
    <xf borderId="29" fillId="5" fontId="122" numFmtId="0" xfId="0" applyAlignment="1" applyBorder="1" applyFont="1">
      <alignment horizontal="center" vertical="center"/>
    </xf>
    <xf borderId="29" fillId="5" fontId="122" numFmtId="10" xfId="0" applyAlignment="1" applyBorder="1" applyFont="1" applyNumberFormat="1">
      <alignment horizontal="center" vertical="center"/>
    </xf>
    <xf borderId="29" fillId="5" fontId="122" numFmtId="0" xfId="0" applyAlignment="1" applyBorder="1" applyFont="1">
      <alignment horizontal="left" vertical="center"/>
    </xf>
    <xf borderId="29" fillId="5" fontId="36" numFmtId="0" xfId="0" applyAlignment="1" applyBorder="1" applyFont="1">
      <alignment vertical="center"/>
    </xf>
    <xf borderId="74" fillId="4" fontId="121" numFmtId="0" xfId="0" applyAlignment="1" applyBorder="1" applyFont="1">
      <alignment horizontal="center" vertical="bottom"/>
    </xf>
    <xf borderId="22" fillId="4" fontId="167" numFmtId="0" xfId="0" applyAlignment="1" applyBorder="1" applyFont="1">
      <alignment horizontal="center" vertical="bottom"/>
    </xf>
    <xf borderId="0" fillId="5" fontId="167" numFmtId="0" xfId="0" applyAlignment="1" applyFont="1">
      <alignment horizontal="center" vertical="bottom"/>
    </xf>
    <xf borderId="27" fillId="0" fontId="36" numFmtId="0" xfId="0" applyAlignment="1" applyBorder="1" applyFont="1">
      <alignment horizontal="center" vertical="bottom"/>
    </xf>
    <xf borderId="22" fillId="0" fontId="36" numFmtId="0" xfId="0" applyAlignment="1" applyBorder="1" applyFont="1">
      <alignment horizontal="center" vertical="bottom"/>
    </xf>
    <xf borderId="0" fillId="5" fontId="36" numFmtId="0" xfId="0" applyAlignment="1" applyFont="1">
      <alignment horizontal="center" vertical="bottom"/>
    </xf>
    <xf borderId="26" fillId="4" fontId="122" numFmtId="0" xfId="0" applyAlignment="1" applyBorder="1" applyFont="1">
      <alignment horizontal="center" vertical="bottom"/>
    </xf>
    <xf borderId="0" fillId="5" fontId="122" numFmtId="0" xfId="0" applyAlignment="1" applyFont="1">
      <alignment horizontal="center" vertical="bottom"/>
    </xf>
    <xf borderId="18" fillId="4" fontId="36" numFmtId="0" xfId="0" applyAlignment="1" applyBorder="1" applyFont="1">
      <alignment horizontal="center" vertical="bottom"/>
    </xf>
    <xf borderId="26" fillId="5" fontId="36" numFmtId="0" xfId="0" applyAlignment="1" applyBorder="1" applyFont="1">
      <alignment horizontal="center" vertical="bottom"/>
    </xf>
    <xf borderId="38" fillId="0" fontId="36" numFmtId="170" xfId="0" applyAlignment="1" applyBorder="1" applyFont="1" applyNumberFormat="1">
      <alignment horizontal="center" readingOrder="0"/>
    </xf>
    <xf borderId="29" fillId="5" fontId="122" numFmtId="170" xfId="0" applyAlignment="1" applyBorder="1" applyFont="1" applyNumberFormat="1">
      <alignment horizontal="center" vertical="center"/>
    </xf>
    <xf borderId="18" fillId="4" fontId="122" numFmtId="0" xfId="0" applyAlignment="1" applyBorder="1" applyFont="1">
      <alignment horizontal="center" vertical="bottom"/>
    </xf>
    <xf borderId="27" fillId="4" fontId="122" numFmtId="0" xfId="0" applyAlignment="1" applyBorder="1" applyFont="1">
      <alignment horizontal="center" vertical="bottom"/>
    </xf>
    <xf borderId="27" fillId="19" fontId="122" numFmtId="0" xfId="0" applyAlignment="1" applyBorder="1" applyFill="1" applyFont="1">
      <alignment horizontal="center" vertical="bottom"/>
    </xf>
    <xf borderId="27" fillId="20" fontId="122" numFmtId="0" xfId="0" applyAlignment="1" applyBorder="1" applyFill="1" applyFont="1">
      <alignment horizontal="center" vertical="bottom"/>
    </xf>
    <xf borderId="18" fillId="0" fontId="36" numFmtId="170" xfId="0" applyAlignment="1" applyBorder="1" applyFont="1" applyNumberFormat="1">
      <alignment horizontal="center" vertical="bottom"/>
    </xf>
    <xf borderId="18" fillId="0" fontId="36" numFmtId="3" xfId="0" applyAlignment="1" applyBorder="1" applyFont="1" applyNumberFormat="1">
      <alignment horizontal="center" vertical="bottom"/>
    </xf>
    <xf borderId="29" fillId="5" fontId="166" numFmtId="0" xfId="0" applyAlignment="1" applyBorder="1" applyFont="1">
      <alignment horizontal="center" vertical="center"/>
    </xf>
    <xf borderId="18" fillId="4" fontId="122" numFmtId="0" xfId="0" applyAlignment="1" applyBorder="1" applyFont="1">
      <alignment horizontal="center"/>
    </xf>
    <xf borderId="18" fillId="19" fontId="122" numFmtId="0" xfId="0" applyAlignment="1" applyBorder="1" applyFont="1">
      <alignment horizontal="center" vertical="bottom"/>
    </xf>
    <xf borderId="27" fillId="19" fontId="122" numFmtId="0" xfId="0" applyBorder="1" applyFont="1"/>
    <xf borderId="54" fillId="4" fontId="122" numFmtId="0" xfId="0" applyAlignment="1" applyBorder="1" applyFont="1">
      <alignment horizontal="center" vertical="bottom"/>
    </xf>
    <xf borderId="54" fillId="19" fontId="122" numFmtId="0" xfId="0" applyAlignment="1" applyBorder="1" applyFont="1">
      <alignment horizontal="center" vertical="bottom"/>
    </xf>
    <xf borderId="27" fillId="19" fontId="36" numFmtId="0" xfId="0" applyAlignment="1" applyBorder="1" applyFont="1">
      <alignment horizontal="center" vertical="bottom"/>
    </xf>
    <xf borderId="75" fillId="0" fontId="3" numFmtId="0" xfId="0" applyBorder="1" applyFont="1"/>
    <xf borderId="76" fillId="0" fontId="3" numFmtId="0" xfId="0" applyBorder="1" applyFont="1"/>
    <xf borderId="77" fillId="0" fontId="3" numFmtId="0" xfId="0" applyBorder="1" applyFont="1"/>
    <xf borderId="19" fillId="5" fontId="31" numFmtId="0" xfId="0" applyAlignment="1" applyBorder="1" applyFont="1">
      <alignment horizontal="center" vertical="center"/>
    </xf>
    <xf borderId="37" fillId="0" fontId="168" numFmtId="0" xfId="0" applyAlignment="1" applyBorder="1" applyFont="1">
      <alignment shrinkToFit="0" vertical="center" wrapText="1"/>
    </xf>
    <xf borderId="37" fillId="0" fontId="168" numFmtId="0" xfId="0" applyAlignment="1" applyBorder="1" applyFont="1">
      <alignment shrinkToFit="0" vertical="top" wrapText="1"/>
    </xf>
    <xf borderId="38" fillId="0" fontId="169" numFmtId="0" xfId="0" applyAlignment="1" applyBorder="1" applyFont="1">
      <alignment vertical="bottom"/>
    </xf>
    <xf borderId="37" fillId="5" fontId="168" numFmtId="0" xfId="0" applyAlignment="1" applyBorder="1" applyFont="1">
      <alignment vertical="center"/>
    </xf>
    <xf borderId="37" fillId="5" fontId="170" numFmtId="0" xfId="0" applyAlignment="1" applyBorder="1" applyFont="1">
      <alignment horizontal="center" vertical="center"/>
    </xf>
    <xf borderId="37" fillId="5" fontId="171" numFmtId="10" xfId="0" applyAlignment="1" applyBorder="1" applyFont="1" applyNumberFormat="1">
      <alignment vertical="bottom"/>
    </xf>
    <xf borderId="37" fillId="5" fontId="172" numFmtId="0" xfId="0" applyAlignment="1" applyBorder="1" applyFont="1">
      <alignment vertical="center"/>
    </xf>
    <xf borderId="73" fillId="5" fontId="173" numFmtId="10" xfId="0" applyAlignment="1" applyBorder="1" applyFont="1" applyNumberFormat="1">
      <alignment horizontal="center" vertical="center"/>
    </xf>
    <xf borderId="78" fillId="0" fontId="3" numFmtId="0" xfId="0" applyBorder="1" applyFont="1"/>
    <xf borderId="79" fillId="0" fontId="3" numFmtId="0" xfId="0" applyBorder="1" applyFont="1"/>
    <xf borderId="80" fillId="5" fontId="168" numFmtId="0" xfId="0" applyAlignment="1" applyBorder="1" applyFont="1">
      <alignment vertical="center"/>
    </xf>
    <xf borderId="80" fillId="5" fontId="172" numFmtId="0" xfId="0" applyAlignment="1" applyBorder="1" applyFont="1">
      <alignment horizontal="center" vertical="center"/>
    </xf>
    <xf borderId="80" fillId="5" fontId="171" numFmtId="10" xfId="0" applyBorder="1" applyFont="1" applyNumberFormat="1"/>
    <xf borderId="80" fillId="5" fontId="172" numFmtId="0" xfId="0" applyAlignment="1" applyBorder="1" applyFont="1">
      <alignment vertical="center"/>
    </xf>
    <xf borderId="29" fillId="0" fontId="165" numFmtId="0" xfId="0" applyAlignment="1" applyBorder="1" applyFont="1">
      <alignment horizontal="center" vertical="center"/>
    </xf>
    <xf borderId="12" fillId="0" fontId="3" numFmtId="0" xfId="0" applyBorder="1" applyFont="1"/>
    <xf borderId="81" fillId="0" fontId="3" numFmtId="0" xfId="0" applyBorder="1" applyFont="1"/>
    <xf borderId="10" fillId="0" fontId="122" numFmtId="0" xfId="0" applyAlignment="1" applyBorder="1" applyFont="1">
      <alignment horizontal="center" vertical="center"/>
    </xf>
    <xf borderId="21" fillId="0" fontId="165" numFmtId="0" xfId="0" applyAlignment="1" applyBorder="1" applyFont="1">
      <alignment horizontal="center" vertical="center"/>
    </xf>
    <xf borderId="10" fillId="0" fontId="36" numFmtId="0" xfId="0" applyAlignment="1" applyBorder="1" applyFont="1">
      <alignment horizontal="left" shrinkToFit="0" vertical="center" wrapText="1"/>
    </xf>
    <xf borderId="10" fillId="5" fontId="36" numFmtId="0" xfId="0" applyAlignment="1" applyBorder="1" applyFont="1">
      <alignment horizontal="left" vertical="center"/>
    </xf>
    <xf borderId="82" fillId="5" fontId="166" numFmtId="49" xfId="0" applyAlignment="1" applyBorder="1" applyFont="1" applyNumberFormat="1">
      <alignment horizontal="center" vertical="center"/>
    </xf>
    <xf borderId="10" fillId="5" fontId="122" numFmtId="10" xfId="0" applyAlignment="1" applyBorder="1" applyFont="1" applyNumberFormat="1">
      <alignment horizontal="center" vertical="center"/>
    </xf>
    <xf borderId="10" fillId="5" fontId="122" numFmtId="0" xfId="0" applyAlignment="1" applyBorder="1" applyFont="1">
      <alignment horizontal="left" vertical="center"/>
    </xf>
    <xf borderId="10" fillId="5" fontId="74" numFmtId="0" xfId="0" applyAlignment="1" applyBorder="1" applyFont="1">
      <alignment horizontal="center" vertical="center"/>
    </xf>
    <xf borderId="83" fillId="5" fontId="1" numFmtId="10" xfId="0" applyAlignment="1" applyBorder="1" applyFont="1" applyNumberFormat="1">
      <alignment horizontal="center" vertical="center"/>
    </xf>
    <xf borderId="0" fillId="5" fontId="74" numFmtId="0" xfId="0" applyAlignment="1" applyFont="1">
      <alignment vertical="top"/>
    </xf>
    <xf borderId="18" fillId="0" fontId="165" numFmtId="0" xfId="0" applyAlignment="1" applyBorder="1" applyFont="1">
      <alignment horizontal="center" vertical="center"/>
    </xf>
    <xf borderId="68" fillId="0" fontId="3" numFmtId="0" xfId="0" applyBorder="1" applyFont="1"/>
    <xf borderId="0" fillId="5" fontId="74" numFmtId="0" xfId="0" applyAlignment="1" applyFont="1">
      <alignment vertical="bottom"/>
    </xf>
    <xf borderId="26" fillId="5" fontId="121" numFmtId="0" xfId="0" applyAlignment="1" applyBorder="1" applyFont="1">
      <alignment horizontal="center" vertical="bottom"/>
    </xf>
    <xf borderId="38" fillId="5" fontId="36" numFmtId="0" xfId="0" applyAlignment="1" applyBorder="1" applyFont="1">
      <alignment horizontal="left" vertical="center"/>
    </xf>
    <xf borderId="38" fillId="5" fontId="122" numFmtId="0" xfId="0" applyAlignment="1" applyBorder="1" applyFont="1">
      <alignment horizontal="center" vertical="center"/>
    </xf>
    <xf borderId="38" fillId="5" fontId="122" numFmtId="10" xfId="0" applyAlignment="1" applyBorder="1" applyFont="1" applyNumberFormat="1">
      <alignment horizontal="center" vertical="center"/>
    </xf>
    <xf borderId="38" fillId="5" fontId="122" numFmtId="0" xfId="0" applyAlignment="1" applyBorder="1" applyFont="1">
      <alignment horizontal="left" vertical="center"/>
    </xf>
    <xf borderId="38" fillId="5" fontId="74" numFmtId="0" xfId="0" applyAlignment="1" applyBorder="1" applyFont="1">
      <alignment horizontal="center" vertical="center"/>
    </xf>
    <xf borderId="26" fillId="4" fontId="121" numFmtId="0" xfId="0" applyAlignment="1" applyBorder="1" applyFont="1">
      <alignment horizontal="center" vertical="bottom"/>
    </xf>
    <xf borderId="0" fillId="0" fontId="5" numFmtId="0" xfId="0" applyFont="1"/>
    <xf borderId="26" fillId="5" fontId="74" numFmtId="0" xfId="0" applyAlignment="1" applyBorder="1" applyFont="1">
      <alignment vertical="bottom"/>
    </xf>
    <xf borderId="38" fillId="5" fontId="122" numFmtId="170" xfId="0" applyAlignment="1" applyBorder="1" applyFont="1" applyNumberFormat="1">
      <alignment horizontal="center" vertical="center"/>
    </xf>
    <xf borderId="18" fillId="20" fontId="122" numFmtId="0" xfId="0" applyAlignment="1" applyBorder="1" applyFont="1">
      <alignment horizontal="center" vertical="bottom"/>
    </xf>
    <xf borderId="0" fillId="20" fontId="122" numFmtId="0" xfId="0" applyAlignment="1" applyFont="1">
      <alignment horizontal="center" vertical="bottom"/>
    </xf>
    <xf borderId="0" fillId="0" fontId="36" numFmtId="170" xfId="0" applyAlignment="1" applyFont="1" applyNumberFormat="1">
      <alignment horizontal="center" vertical="bottom"/>
    </xf>
    <xf borderId="0" fillId="5" fontId="74" numFmtId="3" xfId="0" applyAlignment="1" applyFont="1" applyNumberFormat="1">
      <alignment vertical="bottom"/>
    </xf>
    <xf borderId="0" fillId="0" fontId="74" numFmtId="0" xfId="0" applyAlignment="1" applyFont="1">
      <alignment vertical="bottom"/>
    </xf>
    <xf borderId="38" fillId="5" fontId="174" numFmtId="0" xfId="0" applyAlignment="1" applyBorder="1" applyFont="1">
      <alignment horizontal="center" vertical="center"/>
    </xf>
    <xf borderId="18" fillId="19" fontId="122" numFmtId="0" xfId="0" applyAlignment="1" applyBorder="1" applyFont="1">
      <alignment vertical="bottom"/>
    </xf>
    <xf borderId="26" fillId="0" fontId="74" numFmtId="0" xfId="0" applyAlignment="1" applyBorder="1" applyFont="1">
      <alignment vertical="bottom"/>
    </xf>
    <xf borderId="26" fillId="19" fontId="122" numFmtId="0" xfId="0" applyAlignment="1" applyBorder="1" applyFont="1">
      <alignment horizontal="center" vertical="bottom"/>
    </xf>
    <xf borderId="84" fillId="0" fontId="3" numFmtId="0" xfId="0" applyBorder="1" applyFont="1"/>
    <xf borderId="18" fillId="5" fontId="23" numFmtId="0" xfId="0" applyAlignment="1" applyBorder="1" applyFont="1">
      <alignment horizontal="center"/>
    </xf>
    <xf borderId="85" fillId="0" fontId="168" numFmtId="0" xfId="0" applyAlignment="1" applyBorder="1" applyFont="1">
      <alignment shrinkToFit="0" vertical="center" wrapText="1"/>
    </xf>
    <xf borderId="85" fillId="5" fontId="168" numFmtId="0" xfId="0" applyAlignment="1" applyBorder="1" applyFont="1">
      <alignment horizontal="left" vertical="center"/>
    </xf>
    <xf borderId="85" fillId="5" fontId="175" numFmtId="0" xfId="0" applyAlignment="1" applyBorder="1" applyFont="1">
      <alignment horizontal="center" vertical="center"/>
    </xf>
    <xf borderId="85" fillId="5" fontId="171" numFmtId="10" xfId="0" applyAlignment="1" applyBorder="1" applyFont="1" applyNumberFormat="1">
      <alignment vertical="bottom"/>
    </xf>
    <xf borderId="85" fillId="5" fontId="172" numFmtId="0" xfId="0" applyAlignment="1" applyBorder="1" applyFont="1">
      <alignment horizontal="left" vertical="center"/>
    </xf>
    <xf borderId="85" fillId="5" fontId="171" numFmtId="0" xfId="0" applyBorder="1" applyFont="1"/>
    <xf borderId="68" fillId="5" fontId="171" numFmtId="10" xfId="0" applyBorder="1" applyFont="1" applyNumberFormat="1"/>
    <xf borderId="86" fillId="5" fontId="168" numFmtId="0" xfId="0" applyAlignment="1" applyBorder="1" applyFont="1">
      <alignment horizontal="left" vertical="center"/>
    </xf>
    <xf borderId="86" fillId="5" fontId="171" numFmtId="0" xfId="0" applyAlignment="1" applyBorder="1" applyFont="1">
      <alignment vertical="center"/>
    </xf>
    <xf borderId="86" fillId="5" fontId="171" numFmtId="10" xfId="0" applyAlignment="1" applyBorder="1" applyFont="1" applyNumberFormat="1">
      <alignment vertical="bottom"/>
    </xf>
    <xf borderId="86" fillId="5" fontId="172" numFmtId="0" xfId="0" applyAlignment="1" applyBorder="1" applyFont="1">
      <alignment horizontal="left" vertical="center"/>
    </xf>
    <xf borderId="86" fillId="5" fontId="171" numFmtId="0" xfId="0" applyBorder="1" applyFont="1"/>
    <xf borderId="12" fillId="0" fontId="165" numFmtId="0" xfId="0" applyAlignment="1" applyBorder="1" applyFont="1">
      <alignment horizontal="center"/>
    </xf>
    <xf borderId="57" fillId="0" fontId="3" numFmtId="0" xfId="0" applyBorder="1" applyFont="1"/>
    <xf borderId="10" fillId="0" fontId="36" numFmtId="0" xfId="0" applyAlignment="1" applyBorder="1" applyFont="1">
      <alignment shrinkToFit="0" vertical="center" wrapText="1"/>
    </xf>
    <xf borderId="10" fillId="5" fontId="36" numFmtId="0" xfId="0" applyAlignment="1" applyBorder="1" applyFont="1">
      <alignment vertical="center"/>
    </xf>
    <xf borderId="10" fillId="5" fontId="122" numFmtId="0" xfId="0" applyAlignment="1" applyBorder="1" applyFont="1">
      <alignment vertical="center"/>
    </xf>
    <xf borderId="10" fillId="5" fontId="74" numFmtId="0" xfId="0" applyAlignment="1" applyBorder="1" applyFont="1">
      <alignment vertical="center"/>
    </xf>
    <xf borderId="0" fillId="5" fontId="74" numFmtId="0" xfId="0" applyAlignment="1" applyFont="1">
      <alignment vertical="center"/>
    </xf>
    <xf borderId="26" fillId="4" fontId="167" numFmtId="0" xfId="0" applyAlignment="1" applyBorder="1" applyFont="1">
      <alignment horizontal="center" vertical="bottom"/>
    </xf>
    <xf borderId="43" fillId="5" fontId="121" numFmtId="0" xfId="0" applyAlignment="1" applyBorder="1" applyFont="1">
      <alignment horizontal="center" vertical="center"/>
    </xf>
    <xf borderId="0" fillId="5" fontId="121" numFmtId="0" xfId="0" applyAlignment="1" applyFont="1">
      <alignment horizontal="center" vertical="center"/>
    </xf>
    <xf borderId="26" fillId="0" fontId="36" numFmtId="0" xfId="0" applyAlignment="1" applyBorder="1" applyFont="1">
      <alignment horizontal="center" vertical="bottom"/>
    </xf>
    <xf borderId="87" fillId="5" fontId="121" numFmtId="0" xfId="0" applyAlignment="1" applyBorder="1" applyFont="1">
      <alignment horizontal="center" vertical="center"/>
    </xf>
    <xf borderId="26" fillId="5" fontId="121" numFmtId="0" xfId="0" applyAlignment="1" applyBorder="1" applyFont="1">
      <alignment horizontal="center" vertical="center"/>
    </xf>
    <xf borderId="38" fillId="5" fontId="36" numFmtId="0" xfId="0" applyAlignment="1" applyBorder="1" applyFont="1">
      <alignment vertical="center"/>
    </xf>
    <xf borderId="38" fillId="5" fontId="122" numFmtId="0" xfId="0" applyAlignment="1" applyBorder="1" applyFont="1">
      <alignment vertical="center"/>
    </xf>
    <xf borderId="38" fillId="5" fontId="74" numFmtId="0" xfId="0" applyAlignment="1" applyBorder="1" applyFont="1">
      <alignment vertical="center"/>
    </xf>
    <xf borderId="26" fillId="4" fontId="121" numFmtId="0" xfId="0" applyAlignment="1" applyBorder="1" applyFont="1">
      <alignment horizontal="center" vertical="center"/>
    </xf>
    <xf borderId="18" fillId="4" fontId="167" numFmtId="0" xfId="0" applyAlignment="1" applyBorder="1" applyFont="1">
      <alignment horizontal="center" vertical="center"/>
    </xf>
    <xf borderId="18" fillId="0" fontId="36" numFmtId="0" xfId="0" applyAlignment="1" applyBorder="1" applyFont="1">
      <alignment horizontal="center" vertical="center"/>
    </xf>
    <xf borderId="26" fillId="4" fontId="122" numFmtId="0" xfId="0" applyAlignment="1" applyBorder="1" applyFont="1">
      <alignment horizontal="center" vertical="center"/>
    </xf>
    <xf borderId="18" fillId="4" fontId="36" numFmtId="0" xfId="0" applyAlignment="1" applyBorder="1" applyFont="1">
      <alignment horizontal="center" vertical="center"/>
    </xf>
    <xf borderId="26" fillId="5" fontId="74" numFmtId="0" xfId="0" applyAlignment="1" applyBorder="1" applyFont="1">
      <alignment vertical="center"/>
    </xf>
    <xf borderId="18" fillId="4" fontId="122" numFmtId="0" xfId="0" applyAlignment="1" applyBorder="1" applyFont="1">
      <alignment horizontal="center" vertical="center"/>
    </xf>
    <xf borderId="18" fillId="19" fontId="122" numFmtId="0" xfId="0" applyAlignment="1" applyBorder="1" applyFont="1">
      <alignment horizontal="center" vertical="center"/>
    </xf>
    <xf borderId="18" fillId="20" fontId="122" numFmtId="0" xfId="0" applyAlignment="1" applyBorder="1" applyFont="1">
      <alignment horizontal="center" vertical="center"/>
    </xf>
    <xf borderId="0" fillId="20" fontId="122" numFmtId="0" xfId="0" applyAlignment="1" applyFont="1">
      <alignment horizontal="center" vertical="center"/>
    </xf>
    <xf borderId="18" fillId="0" fontId="36" numFmtId="170" xfId="0" applyAlignment="1" applyBorder="1" applyFont="1" applyNumberFormat="1">
      <alignment horizontal="center" vertical="center"/>
    </xf>
    <xf borderId="0" fillId="0" fontId="36" numFmtId="170" xfId="0" applyAlignment="1" applyFont="1" applyNumberFormat="1">
      <alignment horizontal="center" vertical="center"/>
    </xf>
    <xf borderId="18" fillId="0" fontId="36" numFmtId="3" xfId="0" applyAlignment="1" applyBorder="1" applyFont="1" applyNumberFormat="1">
      <alignment horizontal="center" vertical="center"/>
    </xf>
    <xf borderId="0" fillId="5" fontId="74" numFmtId="3" xfId="0" applyAlignment="1" applyFont="1" applyNumberFormat="1">
      <alignment vertical="center"/>
    </xf>
    <xf borderId="0" fillId="0" fontId="74" numFmtId="0" xfId="0" applyAlignment="1" applyFont="1">
      <alignment vertical="center"/>
    </xf>
    <xf borderId="18" fillId="19" fontId="122" numFmtId="0" xfId="0" applyAlignment="1" applyBorder="1" applyFont="1">
      <alignment vertical="center"/>
    </xf>
    <xf borderId="26" fillId="0" fontId="74" numFmtId="0" xfId="0" applyAlignment="1" applyBorder="1" applyFont="1">
      <alignment vertical="center"/>
    </xf>
    <xf borderId="26" fillId="19" fontId="122" numFmtId="0" xfId="0" applyAlignment="1" applyBorder="1" applyFont="1">
      <alignment horizontal="center" vertical="center"/>
    </xf>
    <xf borderId="18" fillId="19" fontId="36" numFmtId="0" xfId="0" applyAlignment="1" applyBorder="1" applyFont="1">
      <alignment horizontal="center" vertical="center"/>
    </xf>
    <xf borderId="18" fillId="5" fontId="23" numFmtId="0" xfId="0" applyAlignment="1" applyBorder="1" applyFont="1">
      <alignment horizontal="center" vertical="center"/>
    </xf>
    <xf borderId="85" fillId="5" fontId="168" numFmtId="0" xfId="0" applyAlignment="1" applyBorder="1" applyFont="1">
      <alignment vertical="center"/>
    </xf>
    <xf borderId="85" fillId="5" fontId="171" numFmtId="10" xfId="0" applyAlignment="1" applyBorder="1" applyFont="1" applyNumberFormat="1">
      <alignment vertical="center"/>
    </xf>
    <xf borderId="85" fillId="5" fontId="172" numFmtId="0" xfId="0" applyAlignment="1" applyBorder="1" applyFont="1">
      <alignment vertical="center"/>
    </xf>
    <xf borderId="85" fillId="5" fontId="171" numFmtId="0" xfId="0" applyAlignment="1" applyBorder="1" applyFont="1">
      <alignment vertical="center"/>
    </xf>
    <xf borderId="88" fillId="5" fontId="171" numFmtId="10" xfId="0" applyAlignment="1" applyBorder="1" applyFont="1" applyNumberFormat="1">
      <alignment vertical="center"/>
    </xf>
    <xf borderId="86" fillId="5" fontId="168" numFmtId="0" xfId="0" applyAlignment="1" applyBorder="1" applyFont="1">
      <alignment vertical="center"/>
    </xf>
    <xf borderId="86" fillId="5" fontId="171" numFmtId="10" xfId="0" applyAlignment="1" applyBorder="1" applyFont="1" applyNumberFormat="1">
      <alignment vertical="center"/>
    </xf>
    <xf borderId="86" fillId="5" fontId="172" numFmtId="0" xfId="0" applyAlignment="1" applyBorder="1" applyFont="1">
      <alignment vertical="center"/>
    </xf>
    <xf borderId="21" fillId="0" fontId="165" numFmtId="172" xfId="0" applyAlignment="1" applyBorder="1" applyFont="1" applyNumberFormat="1">
      <alignment horizontal="center" vertical="center"/>
    </xf>
    <xf borderId="18" fillId="0" fontId="165" numFmtId="172" xfId="0" applyAlignment="1" applyBorder="1" applyFont="1" applyNumberFormat="1">
      <alignment horizontal="center" vertical="center"/>
    </xf>
    <xf borderId="0" fillId="0" fontId="26" numFmtId="0" xfId="0" applyAlignment="1" applyFont="1">
      <alignment horizontal="center"/>
    </xf>
    <xf borderId="0" fillId="0" fontId="121" numFmtId="0" xfId="0" applyAlignment="1" applyFont="1">
      <alignment horizontal="center" vertical="bottom"/>
    </xf>
    <xf borderId="22" fillId="17" fontId="121" numFmtId="0" xfId="0" applyAlignment="1" applyBorder="1" applyFont="1">
      <alignment horizontal="center" vertical="bottom"/>
    </xf>
    <xf borderId="22" fillId="17" fontId="165" numFmtId="0" xfId="0" applyAlignment="1" applyBorder="1" applyFont="1">
      <alignment horizontal="center" vertical="center"/>
    </xf>
    <xf borderId="22" fillId="17" fontId="121" numFmtId="0" xfId="0" applyAlignment="1" applyBorder="1" applyFont="1">
      <alignment horizontal="center" readingOrder="0" vertical="bottom"/>
    </xf>
    <xf borderId="27" fillId="18" fontId="121" numFmtId="0" xfId="0" applyAlignment="1" applyBorder="1" applyFont="1">
      <alignment horizontal="center" vertical="bottom"/>
    </xf>
    <xf borderId="54" fillId="18" fontId="121" numFmtId="0" xfId="0" applyAlignment="1" applyBorder="1" applyFont="1">
      <alignment horizontal="center" vertical="bottom"/>
    </xf>
    <xf borderId="26" fillId="11" fontId="121" numFmtId="0" xfId="0" applyAlignment="1" applyBorder="1" applyFont="1">
      <alignment horizontal="center" vertical="bottom"/>
    </xf>
    <xf borderId="26" fillId="0" fontId="3" numFmtId="0" xfId="0" applyBorder="1" applyFont="1"/>
    <xf borderId="29" fillId="0" fontId="36" numFmtId="0" xfId="0" applyAlignment="1" applyBorder="1" applyFont="1">
      <alignment horizontal="right" shrinkToFit="0" vertical="top" wrapText="1"/>
    </xf>
    <xf borderId="29" fillId="0" fontId="36" numFmtId="0" xfId="0" applyAlignment="1" applyBorder="1" applyFont="1">
      <alignment vertical="top"/>
    </xf>
    <xf borderId="22" fillId="0" fontId="176" numFmtId="0" xfId="0" applyAlignment="1" applyBorder="1" applyFont="1">
      <alignment horizontal="center" vertical="center"/>
    </xf>
    <xf borderId="29" fillId="0" fontId="36" numFmtId="0" xfId="0" applyAlignment="1" applyBorder="1" applyFont="1">
      <alignment horizontal="center" vertical="bottom"/>
    </xf>
    <xf borderId="29" fillId="0" fontId="36" numFmtId="0" xfId="0" applyAlignment="1" applyBorder="1" applyFont="1">
      <alignment shrinkToFit="0" vertical="bottom" wrapText="1"/>
    </xf>
    <xf borderId="29" fillId="5" fontId="122" numFmtId="0" xfId="0" applyAlignment="1" applyBorder="1" applyFont="1">
      <alignment horizontal="center" vertical="bottom"/>
    </xf>
    <xf borderId="29" fillId="5" fontId="122" numFmtId="10" xfId="0" applyAlignment="1" applyBorder="1" applyFont="1" applyNumberFormat="1">
      <alignment horizontal="center" shrinkToFit="0" vertical="bottom" wrapText="1"/>
    </xf>
    <xf borderId="29" fillId="5" fontId="122" numFmtId="0" xfId="0" applyAlignment="1" applyBorder="1" applyFont="1">
      <alignment shrinkToFit="0" vertical="bottom" wrapText="1"/>
    </xf>
    <xf borderId="38" fillId="5" fontId="121" numFmtId="10" xfId="0" applyAlignment="1" applyBorder="1" applyFont="1" applyNumberFormat="1">
      <alignment horizontal="center" vertical="center"/>
    </xf>
    <xf borderId="38" fillId="0" fontId="36" numFmtId="0" xfId="0" applyAlignment="1" applyBorder="1" applyFont="1">
      <alignment vertical="bottom"/>
    </xf>
    <xf borderId="37" fillId="0" fontId="36" numFmtId="0" xfId="0" applyAlignment="1" applyBorder="1" applyFont="1">
      <alignment shrinkToFit="0" vertical="bottom" wrapText="1"/>
    </xf>
    <xf borderId="43" fillId="5" fontId="122" numFmtId="0" xfId="0" applyAlignment="1" applyBorder="1" applyFont="1">
      <alignment horizontal="center" vertical="bottom"/>
    </xf>
    <xf borderId="0" fillId="0" fontId="36" numFmtId="0" xfId="0" applyAlignment="1" applyFont="1">
      <alignment horizontal="center" vertical="bottom"/>
    </xf>
    <xf borderId="29" fillId="5" fontId="36" numFmtId="3" xfId="0" applyAlignment="1" applyBorder="1" applyFont="1" applyNumberFormat="1">
      <alignment horizontal="center" vertical="bottom"/>
    </xf>
    <xf borderId="37" fillId="5" fontId="36" numFmtId="0" xfId="0" applyAlignment="1" applyBorder="1" applyFont="1">
      <alignment shrinkToFit="0" vertical="bottom" wrapText="1"/>
    </xf>
    <xf borderId="29" fillId="5" fontId="122" numFmtId="170" xfId="0" applyAlignment="1" applyBorder="1" applyFont="1" applyNumberFormat="1">
      <alignment horizontal="center" vertical="bottom"/>
    </xf>
    <xf borderId="0" fillId="0" fontId="36" numFmtId="0" xfId="0" applyAlignment="1" applyFont="1">
      <alignment horizontal="right" shrinkToFit="0" vertical="top" wrapText="1"/>
    </xf>
    <xf borderId="38" fillId="5" fontId="177" numFmtId="0" xfId="0" applyAlignment="1" applyBorder="1" applyFont="1">
      <alignment horizontal="left"/>
    </xf>
    <xf borderId="0" fillId="5" fontId="178" numFmtId="0" xfId="0" applyAlignment="1" applyFont="1">
      <alignment horizontal="center" vertical="center"/>
    </xf>
    <xf borderId="54" fillId="0" fontId="36" numFmtId="0" xfId="0" applyAlignment="1" applyBorder="1" applyFont="1">
      <alignment horizontal="center" vertical="bottom"/>
    </xf>
    <xf borderId="26" fillId="0" fontId="169" numFmtId="0" xfId="0" applyAlignment="1" applyBorder="1" applyFont="1">
      <alignment vertical="bottom"/>
    </xf>
    <xf borderId="54" fillId="0" fontId="122" numFmtId="0" xfId="0" applyAlignment="1" applyBorder="1" applyFont="1">
      <alignment horizontal="center" vertical="bottom"/>
    </xf>
    <xf borderId="54" fillId="0" fontId="122" numFmtId="10" xfId="0" applyAlignment="1" applyBorder="1" applyFont="1" applyNumberFormat="1">
      <alignment horizontal="center" shrinkToFit="0" vertical="bottom" wrapText="1"/>
    </xf>
    <xf borderId="54" fillId="0" fontId="122" numFmtId="0" xfId="0" applyAlignment="1" applyBorder="1" applyFont="1">
      <alignment shrinkToFit="0" vertical="bottom" wrapText="1"/>
    </xf>
    <xf borderId="54" fillId="11" fontId="121" numFmtId="0" xfId="0" applyAlignment="1" applyBorder="1" applyFont="1">
      <alignment horizontal="center" vertical="bottom"/>
    </xf>
    <xf borderId="27" fillId="19" fontId="179" numFmtId="0" xfId="0" applyAlignment="1" applyBorder="1" applyFont="1">
      <alignment horizontal="center" vertical="bottom"/>
    </xf>
    <xf borderId="0" fillId="0" fontId="176" numFmtId="0" xfId="0" applyAlignment="1" applyFont="1">
      <alignment horizontal="center" vertical="center"/>
    </xf>
    <xf borderId="29" fillId="5" fontId="36" numFmtId="0" xfId="0" applyAlignment="1" applyBorder="1" applyFont="1">
      <alignment shrinkToFit="0" vertical="bottom" wrapText="1"/>
    </xf>
    <xf borderId="0" fillId="11" fontId="26" numFmtId="0" xfId="0" applyAlignment="1" applyFont="1">
      <alignment horizontal="center"/>
    </xf>
    <xf borderId="0" fillId="21" fontId="26" numFmtId="0" xfId="0" applyAlignment="1" applyFill="1" applyFont="1">
      <alignment horizontal="center"/>
    </xf>
    <xf borderId="0" fillId="22" fontId="26" numFmtId="0" xfId="0" applyAlignment="1" applyFill="1" applyFont="1">
      <alignment horizontal="center"/>
    </xf>
    <xf borderId="0" fillId="23" fontId="26" numFmtId="0" xfId="0" applyAlignment="1" applyFill="1" applyFont="1">
      <alignment horizontal="center"/>
    </xf>
    <xf borderId="0" fillId="24" fontId="26" numFmtId="0" xfId="0" applyAlignment="1" applyFill="1" applyFont="1">
      <alignment horizontal="center"/>
    </xf>
    <xf borderId="0" fillId="25" fontId="26" numFmtId="0" xfId="0" applyAlignment="1" applyFill="1" applyFont="1">
      <alignment horizontal="center"/>
    </xf>
    <xf borderId="0" fillId="19" fontId="26" numFmtId="0" xfId="0" applyAlignment="1" applyFont="1">
      <alignment horizontal="center"/>
    </xf>
    <xf borderId="0" fillId="2" fontId="26" numFmtId="0" xfId="0" applyAlignment="1" applyFont="1">
      <alignment horizontal="center"/>
    </xf>
    <xf borderId="27" fillId="17" fontId="121" numFmtId="0" xfId="0" applyAlignment="1" applyBorder="1" applyFont="1">
      <alignment horizontal="center" vertical="bottom"/>
    </xf>
    <xf borderId="27" fillId="21" fontId="121" numFmtId="0" xfId="0" applyAlignment="1" applyBorder="1" applyFont="1">
      <alignment horizontal="center" vertical="bottom"/>
    </xf>
    <xf borderId="27" fillId="22" fontId="121" numFmtId="0" xfId="0" applyAlignment="1" applyBorder="1" applyFont="1">
      <alignment horizontal="center" vertical="bottom"/>
    </xf>
    <xf borderId="27" fillId="23" fontId="121" numFmtId="0" xfId="0" applyAlignment="1" applyBorder="1" applyFont="1">
      <alignment horizontal="center" vertical="bottom"/>
    </xf>
    <xf borderId="27" fillId="24" fontId="121" numFmtId="0" xfId="0" applyAlignment="1" applyBorder="1" applyFont="1">
      <alignment horizontal="center" vertical="bottom"/>
    </xf>
    <xf borderId="27" fillId="25" fontId="121" numFmtId="0" xfId="0" applyAlignment="1" applyBorder="1" applyFont="1">
      <alignment horizontal="center" vertical="bottom"/>
    </xf>
    <xf borderId="27" fillId="19" fontId="121" numFmtId="0" xfId="0" applyAlignment="1" applyBorder="1" applyFont="1">
      <alignment horizontal="center" vertical="bottom"/>
    </xf>
    <xf borderId="27" fillId="2" fontId="121" numFmtId="0" xfId="0" applyAlignment="1" applyBorder="1" applyFont="1">
      <alignment horizontal="center" vertical="bottom"/>
    </xf>
    <xf borderId="27" fillId="26" fontId="121" numFmtId="0" xfId="0" applyAlignment="1" applyBorder="1" applyFill="1" applyFont="1">
      <alignment horizontal="center" vertical="bottom"/>
    </xf>
    <xf borderId="27" fillId="5" fontId="121" numFmtId="0" xfId="0" applyAlignment="1" applyBorder="1" applyFont="1">
      <alignment horizontal="center" vertical="bottom"/>
    </xf>
    <xf borderId="22" fillId="0" fontId="5" numFmtId="0" xfId="0" applyBorder="1" applyFont="1"/>
    <xf borderId="22" fillId="0" fontId="5" numFmtId="0" xfId="0" applyAlignment="1" applyBorder="1" applyFont="1">
      <alignment readingOrder="0"/>
    </xf>
    <xf borderId="22" fillId="21" fontId="36" numFmtId="0" xfId="0" applyAlignment="1" applyBorder="1" applyFont="1">
      <alignment horizontal="center" readingOrder="0"/>
    </xf>
    <xf borderId="22" fillId="21" fontId="118" numFmtId="0" xfId="0" applyAlignment="1" applyBorder="1" applyFont="1">
      <alignment horizontal="center"/>
    </xf>
    <xf borderId="22" fillId="21" fontId="36" numFmtId="0" xfId="0" applyAlignment="1" applyBorder="1" applyFont="1">
      <alignment horizontal="center"/>
    </xf>
    <xf borderId="22" fillId="22" fontId="36" numFmtId="0" xfId="0" applyAlignment="1" applyBorder="1" applyFont="1">
      <alignment horizontal="center" readingOrder="0"/>
    </xf>
    <xf borderId="22" fillId="22" fontId="118" numFmtId="0" xfId="0" applyAlignment="1" applyBorder="1" applyFont="1">
      <alignment horizontal="center"/>
    </xf>
    <xf borderId="22" fillId="22" fontId="36" numFmtId="9" xfId="0" applyAlignment="1" applyBorder="1" applyFont="1" applyNumberFormat="1">
      <alignment horizontal="center"/>
    </xf>
    <xf borderId="22" fillId="23" fontId="36" numFmtId="0" xfId="0" applyAlignment="1" applyBorder="1" applyFont="1">
      <alignment horizontal="center" readingOrder="0"/>
    </xf>
    <xf borderId="22" fillId="23" fontId="118" numFmtId="0" xfId="0" applyAlignment="1" applyBorder="1" applyFont="1">
      <alignment horizontal="center"/>
    </xf>
    <xf borderId="22" fillId="23" fontId="122" numFmtId="9" xfId="0" applyAlignment="1" applyBorder="1" applyFont="1" applyNumberFormat="1">
      <alignment horizontal="center"/>
    </xf>
    <xf borderId="22" fillId="24" fontId="36" numFmtId="0" xfId="0" applyAlignment="1" applyBorder="1" applyFont="1">
      <alignment horizontal="center"/>
    </xf>
    <xf borderId="22" fillId="24" fontId="118" numFmtId="0" xfId="0" applyAlignment="1" applyBorder="1" applyFont="1">
      <alignment horizontal="center"/>
    </xf>
    <xf borderId="22" fillId="25" fontId="36" numFmtId="0" xfId="0" applyAlignment="1" applyBorder="1" applyFont="1">
      <alignment horizontal="center"/>
    </xf>
    <xf borderId="22" fillId="25" fontId="118" numFmtId="0" xfId="0" applyAlignment="1" applyBorder="1" applyFont="1">
      <alignment horizontal="center"/>
    </xf>
    <xf borderId="22" fillId="19" fontId="36" numFmtId="170" xfId="0" applyAlignment="1" applyBorder="1" applyFont="1" applyNumberFormat="1">
      <alignment horizontal="left"/>
    </xf>
    <xf borderId="22" fillId="19" fontId="118" numFmtId="9" xfId="0" applyAlignment="1" applyBorder="1" applyFont="1" applyNumberFormat="1">
      <alignment horizontal="center"/>
    </xf>
    <xf borderId="22" fillId="2" fontId="36" numFmtId="0" xfId="0" applyAlignment="1" applyBorder="1" applyFont="1">
      <alignment horizontal="center"/>
    </xf>
    <xf borderId="22" fillId="26" fontId="36" numFmtId="3" xfId="0" applyAlignment="1" applyBorder="1" applyFont="1" applyNumberFormat="1">
      <alignment horizontal="center"/>
    </xf>
    <xf borderId="22" fillId="5" fontId="36" numFmtId="0" xfId="0" applyAlignment="1" applyBorder="1" applyFont="1">
      <alignment horizontal="center"/>
    </xf>
    <xf borderId="22" fillId="26" fontId="118" numFmtId="0" xfId="0" applyAlignment="1" applyBorder="1" applyFont="1">
      <alignment horizontal="center"/>
    </xf>
    <xf borderId="22" fillId="5" fontId="122" numFmtId="9" xfId="0" applyAlignment="1" applyBorder="1" applyFont="1" applyNumberFormat="1">
      <alignment horizontal="center"/>
    </xf>
    <xf borderId="22" fillId="21" fontId="36" numFmtId="0" xfId="0" applyAlignment="1" applyBorder="1" applyFont="1">
      <alignment horizontal="center" shrinkToFit="0" wrapText="1"/>
    </xf>
    <xf borderId="22" fillId="22" fontId="36" numFmtId="0" xfId="0" applyAlignment="1" applyBorder="1" applyFont="1">
      <alignment horizontal="center" shrinkToFit="0" wrapText="1"/>
    </xf>
    <xf borderId="22" fillId="23" fontId="36" numFmtId="0" xfId="0" applyAlignment="1" applyBorder="1" applyFont="1">
      <alignment horizontal="center"/>
    </xf>
    <xf borderId="22" fillId="23" fontId="36" numFmtId="9" xfId="0" applyAlignment="1" applyBorder="1" applyFont="1" applyNumberFormat="1">
      <alignment horizontal="center"/>
    </xf>
    <xf borderId="22" fillId="5" fontId="36" numFmtId="9" xfId="0" applyAlignment="1" applyBorder="1" applyFont="1" applyNumberFormat="1">
      <alignment horizontal="center"/>
    </xf>
    <xf borderId="22" fillId="22" fontId="36" numFmtId="0" xfId="0" applyAlignment="1" applyBorder="1" applyFont="1">
      <alignment horizontal="center"/>
    </xf>
    <xf borderId="22" fillId="24" fontId="36" numFmtId="9" xfId="0" applyAlignment="1" applyBorder="1" applyFont="1" applyNumberFormat="1">
      <alignment horizontal="center"/>
    </xf>
    <xf borderId="22" fillId="25" fontId="36" numFmtId="9" xfId="0" applyAlignment="1" applyBorder="1" applyFont="1" applyNumberFormat="1">
      <alignment horizontal="center"/>
    </xf>
    <xf borderId="22" fillId="2" fontId="36" numFmtId="9" xfId="0" applyAlignment="1" applyBorder="1" applyFont="1" applyNumberFormat="1">
      <alignment horizontal="center"/>
    </xf>
    <xf borderId="22" fillId="24" fontId="122" numFmtId="9" xfId="0" applyAlignment="1" applyBorder="1" applyFont="1" applyNumberFormat="1">
      <alignment horizontal="center"/>
    </xf>
    <xf borderId="22" fillId="25" fontId="122" numFmtId="9" xfId="0" applyAlignment="1" applyBorder="1" applyFont="1" applyNumberFormat="1">
      <alignment horizontal="center"/>
    </xf>
    <xf borderId="22" fillId="2" fontId="122" numFmtId="9" xfId="0" applyAlignment="1" applyBorder="1" applyFont="1" applyNumberFormat="1">
      <alignment horizontal="center"/>
    </xf>
    <xf borderId="29" fillId="0" fontId="5" numFmtId="0" xfId="0" applyBorder="1" applyFont="1"/>
    <xf borderId="29" fillId="0" fontId="5" numFmtId="0" xfId="0" applyAlignment="1" applyBorder="1" applyFont="1">
      <alignment readingOrder="0"/>
    </xf>
    <xf borderId="58" fillId="2" fontId="36" numFmtId="0" xfId="0" applyAlignment="1" applyBorder="1" applyFont="1">
      <alignment horizontal="center"/>
    </xf>
    <xf borderId="89" fillId="5" fontId="36" numFmtId="9" xfId="0" applyAlignment="1" applyBorder="1" applyFont="1" applyNumberFormat="1">
      <alignment horizontal="center"/>
    </xf>
    <xf borderId="54" fillId="11" fontId="5" numFmtId="0" xfId="0" applyAlignment="1" applyBorder="1" applyFont="1">
      <alignment readingOrder="0"/>
    </xf>
    <xf borderId="19" fillId="0" fontId="5" numFmtId="0" xfId="0" applyAlignment="1" applyBorder="1" applyFont="1">
      <alignment readingOrder="0"/>
    </xf>
    <xf borderId="22" fillId="24" fontId="118" numFmtId="9" xfId="0" applyAlignment="1" applyBorder="1" applyFont="1" applyNumberFormat="1">
      <alignment horizontal="center"/>
    </xf>
    <xf borderId="22" fillId="25" fontId="118" numFmtId="9" xfId="0" applyAlignment="1" applyBorder="1" applyFont="1" applyNumberFormat="1">
      <alignment horizontal="center"/>
    </xf>
    <xf borderId="22" fillId="2" fontId="118" numFmtId="9" xfId="0" applyAlignment="1" applyBorder="1" applyFont="1" applyNumberFormat="1">
      <alignment horizontal="center"/>
    </xf>
    <xf borderId="22" fillId="5" fontId="118" numFmtId="9" xfId="0" applyAlignment="1" applyBorder="1" applyFont="1" applyNumberFormat="1">
      <alignment horizontal="center"/>
    </xf>
    <xf borderId="22" fillId="22" fontId="118" numFmtId="9" xfId="0" applyAlignment="1" applyBorder="1" applyFont="1" applyNumberFormat="1">
      <alignment horizontal="center"/>
    </xf>
    <xf borderId="19" fillId="0" fontId="5" numFmtId="0" xfId="0" applyBorder="1" applyFont="1"/>
    <xf borderId="22" fillId="21" fontId="36" numFmtId="0" xfId="0" applyBorder="1" applyFont="1"/>
    <xf borderId="22" fillId="22" fontId="36" numFmtId="0" xfId="0" applyBorder="1" applyFont="1"/>
    <xf borderId="22" fillId="22" fontId="5" numFmtId="9" xfId="0" applyAlignment="1" applyBorder="1" applyFont="1" applyNumberFormat="1">
      <alignment horizontal="center"/>
    </xf>
    <xf borderId="22" fillId="24" fontId="36" numFmtId="0" xfId="0" applyBorder="1" applyFont="1"/>
    <xf borderId="22" fillId="24" fontId="5" numFmtId="9" xfId="0" applyAlignment="1" applyBorder="1" applyFont="1" applyNumberFormat="1">
      <alignment horizontal="center"/>
    </xf>
    <xf borderId="22" fillId="25" fontId="5" numFmtId="9" xfId="0" applyAlignment="1" applyBorder="1" applyFont="1" applyNumberFormat="1">
      <alignment horizontal="center"/>
    </xf>
    <xf borderId="22" fillId="2" fontId="5" numFmtId="9" xfId="0" applyAlignment="1" applyBorder="1" applyFont="1" applyNumberFormat="1">
      <alignment horizontal="center"/>
    </xf>
    <xf borderId="22" fillId="11" fontId="5" numFmtId="9" xfId="0" applyAlignment="1" applyBorder="1" applyFont="1" applyNumberFormat="1">
      <alignment horizontal="center"/>
    </xf>
    <xf borderId="22" fillId="24" fontId="5" numFmtId="9" xfId="0" applyBorder="1" applyFont="1" applyNumberFormat="1"/>
    <xf borderId="22" fillId="25" fontId="5" numFmtId="9" xfId="0" applyBorder="1" applyFont="1" applyNumberFormat="1"/>
    <xf borderId="22" fillId="2" fontId="5" numFmtId="9" xfId="0" applyBorder="1" applyFont="1" applyNumberFormat="1"/>
    <xf borderId="22" fillId="11" fontId="5" numFmtId="9" xfId="0" applyBorder="1" applyFont="1" applyNumberFormat="1"/>
    <xf borderId="22" fillId="22" fontId="5" numFmtId="9" xfId="0" applyBorder="1" applyFont="1" applyNumberFormat="1"/>
    <xf borderId="22" fillId="22" fontId="5" numFmtId="0" xfId="0" applyBorder="1" applyFont="1"/>
    <xf borderId="22" fillId="19" fontId="5" numFmtId="9" xfId="0" applyBorder="1" applyFont="1" applyNumberFormat="1"/>
    <xf borderId="22" fillId="11" fontId="36" numFmtId="9" xfId="0" applyAlignment="1" applyBorder="1" applyFont="1" applyNumberFormat="1">
      <alignment horizontal="center"/>
    </xf>
    <xf borderId="54" fillId="11" fontId="5" numFmtId="0" xfId="0" applyBorder="1" applyFont="1"/>
    <xf borderId="22" fillId="5" fontId="5" numFmtId="9" xfId="0" applyBorder="1" applyFont="1" applyNumberFormat="1"/>
    <xf borderId="22" fillId="22" fontId="5" numFmtId="0" xfId="0" applyAlignment="1" applyBorder="1" applyFont="1">
      <alignment horizontal="center"/>
    </xf>
    <xf borderId="0" fillId="11" fontId="121" numFmtId="0" xfId="0" applyAlignment="1" applyFont="1">
      <alignment horizontal="center"/>
    </xf>
    <xf borderId="90" fillId="21" fontId="121" numFmtId="0" xfId="0" applyAlignment="1" applyBorder="1" applyFont="1">
      <alignment horizontal="center"/>
    </xf>
    <xf borderId="12" fillId="22" fontId="121" numFmtId="0" xfId="0" applyAlignment="1" applyBorder="1" applyFont="1">
      <alignment horizontal="center"/>
    </xf>
    <xf borderId="13" fillId="22" fontId="180" numFmtId="0" xfId="0" applyAlignment="1" applyBorder="1" applyFont="1">
      <alignment horizontal="center"/>
    </xf>
    <xf borderId="13" fillId="22" fontId="121" numFmtId="9" xfId="0" applyAlignment="1" applyBorder="1" applyFont="1" applyNumberFormat="1">
      <alignment horizontal="center"/>
    </xf>
    <xf borderId="13" fillId="23" fontId="121" numFmtId="0" xfId="0" applyAlignment="1" applyBorder="1" applyFont="1">
      <alignment horizontal="center"/>
    </xf>
    <xf borderId="13" fillId="23" fontId="180" numFmtId="0" xfId="0" applyAlignment="1" applyBorder="1" applyFont="1">
      <alignment horizontal="center"/>
    </xf>
    <xf borderId="13" fillId="23" fontId="121" numFmtId="9" xfId="0" applyAlignment="1" applyBorder="1" applyFont="1" applyNumberFormat="1">
      <alignment horizontal="center"/>
    </xf>
    <xf borderId="13" fillId="24" fontId="121" numFmtId="0" xfId="0" applyAlignment="1" applyBorder="1" applyFont="1">
      <alignment horizontal="center"/>
    </xf>
    <xf borderId="13" fillId="24" fontId="180" numFmtId="0" xfId="0" applyAlignment="1" applyBorder="1" applyFont="1">
      <alignment horizontal="center"/>
    </xf>
    <xf borderId="13" fillId="24" fontId="121" numFmtId="9" xfId="0" applyAlignment="1" applyBorder="1" applyFont="1" applyNumberFormat="1">
      <alignment horizontal="center"/>
    </xf>
    <xf borderId="13" fillId="25" fontId="121" numFmtId="0" xfId="0" applyAlignment="1" applyBorder="1" applyFont="1">
      <alignment horizontal="center"/>
    </xf>
    <xf borderId="13" fillId="25" fontId="180" numFmtId="0" xfId="0" applyAlignment="1" applyBorder="1" applyFont="1">
      <alignment horizontal="center"/>
    </xf>
    <xf borderId="13" fillId="25" fontId="121" numFmtId="9" xfId="0" applyAlignment="1" applyBorder="1" applyFont="1" applyNumberFormat="1">
      <alignment horizontal="center"/>
    </xf>
    <xf borderId="13" fillId="19" fontId="121" numFmtId="170" xfId="0" applyAlignment="1" applyBorder="1" applyFont="1" applyNumberFormat="1">
      <alignment horizontal="center"/>
    </xf>
    <xf borderId="13" fillId="19" fontId="181" numFmtId="170" xfId="0" applyAlignment="1" applyBorder="1" applyFont="1" applyNumberFormat="1">
      <alignment horizontal="center"/>
    </xf>
    <xf borderId="81" fillId="19" fontId="121" numFmtId="9" xfId="0" applyAlignment="1" applyBorder="1" applyFont="1" applyNumberFormat="1">
      <alignment horizontal="center"/>
    </xf>
    <xf borderId="13" fillId="2" fontId="121" numFmtId="0" xfId="0" applyAlignment="1" applyBorder="1" applyFont="1">
      <alignment horizontal="center"/>
    </xf>
    <xf borderId="13" fillId="26" fontId="180" numFmtId="3" xfId="0" applyAlignment="1" applyBorder="1" applyFont="1" applyNumberFormat="1">
      <alignment horizontal="center"/>
    </xf>
    <xf borderId="13" fillId="11" fontId="121" numFmtId="9" xfId="0" applyAlignment="1" applyBorder="1" applyFont="1" applyNumberFormat="1">
      <alignment horizontal="center"/>
    </xf>
    <xf borderId="13" fillId="26" fontId="180" numFmtId="0" xfId="0" applyAlignment="1" applyBorder="1" applyFont="1">
      <alignment horizontal="center"/>
    </xf>
    <xf borderId="4" fillId="5" fontId="169" numFmtId="0" xfId="0" applyAlignment="1" applyBorder="1" applyFont="1">
      <alignment vertical="bottom"/>
    </xf>
    <xf borderId="91" fillId="27" fontId="74" numFmtId="0" xfId="0" applyAlignment="1" applyBorder="1" applyFill="1" applyFont="1">
      <alignment readingOrder="0" vertical="bottom"/>
    </xf>
    <xf borderId="4" fillId="0" fontId="169" numFmtId="0" xfId="0" applyAlignment="1" applyBorder="1" applyFont="1">
      <alignment vertical="bottom"/>
    </xf>
    <xf borderId="12" fillId="0" fontId="169" numFmtId="0" xfId="0" applyAlignment="1" applyBorder="1" applyFont="1">
      <alignment vertical="bottom"/>
    </xf>
    <xf borderId="92" fillId="3" fontId="122" numFmtId="0" xfId="0" applyAlignment="1" applyBorder="1" applyFont="1">
      <alignment horizontal="center" vertical="bottom"/>
    </xf>
    <xf borderId="14" fillId="3" fontId="122" numFmtId="0" xfId="0" applyAlignment="1" applyBorder="1" applyFont="1">
      <alignment horizontal="center" vertical="bottom"/>
    </xf>
    <xf borderId="7" fillId="3" fontId="122" numFmtId="0" xfId="0" applyAlignment="1" applyBorder="1" applyFont="1">
      <alignment horizontal="center" vertical="bottom"/>
    </xf>
    <xf borderId="37" fillId="3" fontId="122" numFmtId="0" xfId="0" applyAlignment="1" applyBorder="1" applyFont="1">
      <alignment horizontal="center" shrinkToFit="0" vertical="bottom" wrapText="1"/>
    </xf>
    <xf borderId="38" fillId="3" fontId="122" numFmtId="0" xfId="0" applyAlignment="1" applyBorder="1" applyFont="1">
      <alignment horizontal="center" shrinkToFit="0" vertical="bottom" wrapText="1"/>
    </xf>
    <xf borderId="0" fillId="0" fontId="169" numFmtId="0" xfId="0" applyAlignment="1" applyFont="1">
      <alignment vertical="bottom"/>
    </xf>
    <xf borderId="0" fillId="0" fontId="169" numFmtId="0" xfId="0" applyAlignment="1" applyFont="1">
      <alignment vertical="bottom"/>
    </xf>
    <xf borderId="0" fillId="0" fontId="169" numFmtId="0" xfId="0" applyAlignment="1" applyFont="1">
      <alignment vertical="bottom"/>
    </xf>
    <xf borderId="0" fillId="0" fontId="169" numFmtId="0" xfId="0" applyAlignment="1" applyFont="1">
      <alignment horizontal="right" vertical="bottom"/>
    </xf>
    <xf borderId="0" fillId="0" fontId="169" numFmtId="10" xfId="0" applyAlignment="1" applyFont="1" applyNumberFormat="1">
      <alignment horizontal="right" vertical="bottom"/>
    </xf>
    <xf borderId="0" fillId="0" fontId="169" numFmtId="170" xfId="0" applyAlignment="1" applyFont="1" applyNumberFormat="1">
      <alignment horizontal="right" vertical="bottom"/>
    </xf>
    <xf borderId="0" fillId="0" fontId="169" numFmtId="10" xfId="0" applyAlignment="1" applyFont="1" applyNumberFormat="1">
      <alignment vertical="bottom"/>
    </xf>
    <xf borderId="0" fillId="0" fontId="169" numFmtId="170" xfId="0" applyAlignment="1" applyFont="1" applyNumberFormat="1">
      <alignment horizontal="right" vertical="bottom"/>
    </xf>
    <xf borderId="0" fillId="5" fontId="182" numFmtId="10" xfId="0" applyAlignment="1" applyFont="1" applyNumberFormat="1">
      <alignment horizontal="right" vertical="bottom"/>
    </xf>
    <xf borderId="0" fillId="0" fontId="169" numFmtId="3" xfId="0" applyAlignment="1" applyFont="1" applyNumberFormat="1">
      <alignment vertical="bottom"/>
    </xf>
    <xf borderId="0" fillId="5" fontId="169" numFmtId="10" xfId="0" applyAlignment="1" applyFont="1" applyNumberFormat="1">
      <alignment vertical="bottom"/>
    </xf>
    <xf borderId="0" fillId="0" fontId="169" numFmtId="0" xfId="0" applyAlignment="1" applyFont="1">
      <alignment shrinkToFit="0" vertical="bottom" wrapText="0"/>
    </xf>
    <xf borderId="0" fillId="5" fontId="169" numFmtId="0" xfId="0" applyAlignment="1" applyFont="1">
      <alignment vertical="bottom"/>
    </xf>
    <xf borderId="0" fillId="0" fontId="122" numFmtId="0" xfId="0" applyAlignment="1" applyFont="1">
      <alignment shrinkToFit="0" vertical="bottom" wrapText="0"/>
    </xf>
    <xf borderId="0" fillId="0" fontId="122" numFmtId="0" xfId="0" applyFont="1"/>
    <xf borderId="0" fillId="0" fontId="4" numFmtId="0" xfId="0" applyAlignment="1" applyFont="1">
      <alignment readingOrder="0"/>
    </xf>
    <xf borderId="0" fillId="0" fontId="5" numFmtId="0" xfId="0" applyAlignment="1" applyFont="1">
      <alignment readingOrder="0"/>
    </xf>
    <xf borderId="0" fillId="0" fontId="183" numFmtId="0" xfId="0" applyAlignment="1" applyFont="1">
      <alignment horizontal="left"/>
    </xf>
    <xf borderId="0" fillId="0" fontId="4" numFmtId="0" xfId="0" applyAlignment="1" applyFont="1">
      <alignment horizontal="right" readingOrder="0"/>
    </xf>
    <xf borderId="0" fillId="0" fontId="5" numFmtId="0" xfId="0" applyAlignment="1" applyFont="1">
      <alignment horizontal="left"/>
    </xf>
  </cellXfs>
  <cellStyles count="1">
    <cellStyle xfId="0" name="Normal" builtinId="0"/>
  </cellStyles>
  <dxfs count="5">
    <dxf>
      <font>
        <b/>
      </font>
      <fill>
        <patternFill patternType="solid">
          <fgColor rgb="FF93C47D"/>
          <bgColor rgb="FF93C47D"/>
        </patternFill>
      </fill>
      <border/>
    </dxf>
    <dxf>
      <font>
        <b/>
      </font>
      <fill>
        <patternFill patternType="solid">
          <fgColor rgb="FFB7E1CD"/>
          <bgColor rgb="FFB7E1CD"/>
        </patternFill>
      </fill>
      <border/>
    </dxf>
    <dxf>
      <font/>
      <fill>
        <patternFill patternType="solid">
          <fgColor rgb="FFB7E1CD"/>
          <bgColor rgb="FFB7E1CD"/>
        </patternFill>
      </fill>
      <border/>
    </dxf>
    <dxf>
      <font>
        <b/>
      </font>
      <fill>
        <patternFill patternType="solid">
          <fgColor rgb="FFFF0000"/>
          <bgColor rgb="FFFF0000"/>
        </patternFill>
      </fill>
      <border/>
    </dxf>
    <dxf>
      <font/>
      <fill>
        <patternFill patternType="solid">
          <fgColor rgb="FFE6B8AF"/>
          <bgColor rgb="FFE6B8A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200">
                <a:solidFill>
                  <a:srgbClr val="FFFFFF"/>
                </a:solidFill>
                <a:latin typeface="Courier New"/>
              </a:defRPr>
            </a:pPr>
            <a:r>
              <a:rPr b="1" i="0" sz="1200">
                <a:solidFill>
                  <a:srgbClr val="FFFFFF"/>
                </a:solidFill>
                <a:latin typeface="Courier New"/>
              </a:rPr>
              <a:t>Target dan Capaian Utama</a:t>
            </a:r>
          </a:p>
        </c:rich>
      </c:tx>
      <c:overlay val="0"/>
    </c:title>
    <c:view3D>
      <c:rotX val="15"/>
      <c:rotY val="20"/>
      <c:depthPercent val="100"/>
      <c:rAngAx val="1"/>
    </c:view3D>
    <c:plotArea>
      <c:layout>
        <c:manualLayout>
          <c:xMode val="edge"/>
          <c:yMode val="edge"/>
          <c:x val="0.009821428571428571"/>
          <c:y val="0.15896358543417372"/>
          <c:w val="0.9689285714285715"/>
          <c:h val="0.6582633053221288"/>
        </c:manualLayout>
      </c:layout>
      <c:bar3DChart>
        <c:barDir val="col"/>
        <c:grouping val="clustered"/>
        <c:ser>
          <c:idx val="0"/>
          <c:order val="0"/>
          <c:tx>
            <c:strRef>
              <c:f>'Data Dashboard'!$B$3</c:f>
            </c:strRef>
          </c:tx>
          <c:spPr>
            <a:solidFill>
              <a:srgbClr val="FF0000"/>
            </a:solidFill>
            <a:ln cmpd="sng" w="76200">
              <a:solidFill>
                <a:srgbClr val="000000"/>
              </a:solidFill>
              <a:prstDash val="dash"/>
            </a:ln>
          </c:spPr>
          <c:dPt>
            <c:idx val="0"/>
            <c:spPr>
              <a:solidFill>
                <a:srgbClr val="D0E0E3"/>
              </a:solidFill>
              <a:ln cmpd="sng">
                <a:solidFill>
                  <a:srgbClr val="000000"/>
                </a:solidFill>
                <a:prstDash val="dash"/>
              </a:ln>
            </c:spPr>
          </c:dPt>
          <c:dPt>
            <c:idx val="1"/>
            <c:spPr>
              <a:solidFill>
                <a:srgbClr val="EAD1DC"/>
              </a:solidFill>
              <a:ln cmpd="sng">
                <a:solidFill>
                  <a:srgbClr val="000000"/>
                </a:solidFill>
              </a:ln>
            </c:spPr>
          </c:dPt>
          <c:dPt>
            <c:idx val="2"/>
            <c:spPr>
              <a:solidFill>
                <a:srgbClr val="D9EAD3"/>
              </a:solidFill>
              <a:ln cmpd="sng">
                <a:solidFill>
                  <a:srgbClr val="000000"/>
                </a:solidFill>
              </a:ln>
            </c:spPr>
          </c:dPt>
          <c:dPt>
            <c:idx val="3"/>
            <c:spPr>
              <a:solidFill>
                <a:srgbClr val="D9D2E9"/>
              </a:solidFill>
              <a:ln cmpd="sng">
                <a:solidFill>
                  <a:srgbClr val="000000"/>
                </a:solidFill>
              </a:ln>
            </c:spPr>
          </c:dPt>
          <c:dPt>
            <c:idx val="4"/>
            <c:spPr>
              <a:solidFill>
                <a:srgbClr val="C9DAF8"/>
              </a:solidFill>
              <a:ln cmpd="sng">
                <a:solidFill>
                  <a:srgbClr val="000000"/>
                </a:solidFill>
              </a:ln>
            </c:spPr>
          </c:dPt>
          <c:dPt>
            <c:idx val="5"/>
            <c:spPr>
              <a:solidFill>
                <a:srgbClr val="FCE5CD"/>
              </a:solidFill>
              <a:ln cmpd="sng">
                <a:solidFill>
                  <a:srgbClr val="000000"/>
                </a:solidFill>
              </a:ln>
            </c:spPr>
          </c:dPt>
          <c:dPt>
            <c:idx val="6"/>
            <c:spPr>
              <a:solidFill>
                <a:srgbClr val="F4CCCC"/>
              </a:solidFill>
              <a:ln cmpd="sng">
                <a:solidFill>
                  <a:srgbClr val="000000"/>
                </a:solidFill>
              </a:ln>
            </c:spPr>
          </c:dPt>
          <c:dLbls>
            <c:numFmt formatCode="General" sourceLinked="1"/>
            <c:txPr>
              <a:bodyPr/>
              <a:lstStyle/>
              <a:p>
                <a:pPr lvl="0">
                  <a:defRPr b="1" i="0" sz="1400"/>
                </a:pPr>
              </a:p>
            </c:txPr>
            <c:showLegendKey val="0"/>
            <c:showVal val="1"/>
            <c:showCatName val="0"/>
            <c:showSerName val="0"/>
            <c:showPercent val="0"/>
            <c:showBubbleSize val="0"/>
          </c:dLbls>
          <c:cat>
            <c:strRef>
              <c:f>'Data Dashboard'!$A$4:$A$9</c:f>
            </c:strRef>
          </c:cat>
          <c:val>
            <c:numRef>
              <c:f>'Data Dashboard'!$B$4:$B$9</c:f>
              <c:numCache/>
            </c:numRef>
          </c:val>
        </c:ser>
        <c:ser>
          <c:idx val="1"/>
          <c:order val="1"/>
          <c:tx>
            <c:strRef>
              <c:f>'Data Dashboard'!$C$3</c:f>
            </c:strRef>
          </c:tx>
          <c:spPr>
            <a:solidFill>
              <a:srgbClr val="0000FF"/>
            </a:solidFill>
            <a:ln cmpd="sng">
              <a:solidFill>
                <a:srgbClr val="000000"/>
              </a:solidFill>
            </a:ln>
          </c:spPr>
          <c:dPt>
            <c:idx val="0"/>
            <c:spPr>
              <a:solidFill>
                <a:srgbClr val="00FFFF">
                  <a:alpha val="90196"/>
                </a:srgbClr>
              </a:solidFill>
              <a:ln cmpd="sng">
                <a:solidFill>
                  <a:srgbClr val="000000"/>
                </a:solidFill>
              </a:ln>
            </c:spPr>
          </c:dPt>
          <c:dPt>
            <c:idx val="1"/>
            <c:spPr>
              <a:solidFill>
                <a:srgbClr val="FF00FF">
                  <a:alpha val="70196"/>
                </a:srgbClr>
              </a:solidFill>
              <a:ln cmpd="sng">
                <a:solidFill>
                  <a:srgbClr val="000000"/>
                </a:solidFill>
              </a:ln>
            </c:spPr>
          </c:dPt>
          <c:dPt>
            <c:idx val="2"/>
            <c:spPr>
              <a:solidFill>
                <a:srgbClr val="00FF00">
                  <a:alpha val="90196"/>
                </a:srgbClr>
              </a:solidFill>
              <a:ln cmpd="sng">
                <a:solidFill>
                  <a:srgbClr val="000000"/>
                </a:solidFill>
              </a:ln>
            </c:spPr>
          </c:dPt>
          <c:dPt>
            <c:idx val="3"/>
            <c:spPr>
              <a:solidFill>
                <a:srgbClr val="9900FF">
                  <a:alpha val="90196"/>
                </a:srgbClr>
              </a:solidFill>
              <a:ln cmpd="sng">
                <a:solidFill>
                  <a:srgbClr val="000000"/>
                </a:solidFill>
              </a:ln>
            </c:spPr>
          </c:dPt>
          <c:dPt>
            <c:idx val="4"/>
            <c:spPr>
              <a:solidFill>
                <a:srgbClr val="4A86E8">
                  <a:alpha val="90196"/>
                </a:srgbClr>
              </a:solidFill>
              <a:ln cmpd="sng">
                <a:solidFill>
                  <a:srgbClr val="000000"/>
                </a:solidFill>
              </a:ln>
            </c:spPr>
          </c:dPt>
          <c:dPt>
            <c:idx val="5"/>
            <c:spPr>
              <a:solidFill>
                <a:srgbClr val="FF9900">
                  <a:alpha val="90196"/>
                </a:srgbClr>
              </a:solidFill>
              <a:ln cmpd="sng">
                <a:solidFill>
                  <a:srgbClr val="000000"/>
                </a:solidFill>
              </a:ln>
            </c:spPr>
          </c:dPt>
          <c:dPt>
            <c:idx val="6"/>
            <c:spPr>
              <a:solidFill>
                <a:srgbClr val="FF0000">
                  <a:alpha val="90196"/>
                </a:srgbClr>
              </a:solidFill>
              <a:ln cmpd="sng">
                <a:solidFill>
                  <a:srgbClr val="000000"/>
                </a:solidFill>
              </a:ln>
            </c:spPr>
          </c:dPt>
          <c:dLbls>
            <c:numFmt formatCode="General" sourceLinked="1"/>
            <c:txPr>
              <a:bodyPr/>
              <a:lstStyle/>
              <a:p>
                <a:pPr lvl="0">
                  <a:defRPr b="1" sz="1400"/>
                </a:pPr>
              </a:p>
            </c:txPr>
            <c:showLegendKey val="0"/>
            <c:showVal val="1"/>
            <c:showCatName val="0"/>
            <c:showSerName val="0"/>
            <c:showPercent val="0"/>
            <c:showBubbleSize val="0"/>
          </c:dLbls>
          <c:cat>
            <c:strRef>
              <c:f>'Data Dashboard'!$A$4:$A$9</c:f>
            </c:strRef>
          </c:cat>
          <c:val>
            <c:numRef>
              <c:f>'Data Dashboard'!$C$4:$C$9</c:f>
              <c:numCache/>
            </c:numRef>
          </c:val>
        </c:ser>
        <c:ser>
          <c:idx val="2"/>
          <c:order val="2"/>
          <c:tx>
            <c:strRef>
              <c:f>'Data Dashboard'!$C$3</c:f>
            </c:strRef>
          </c:tx>
          <c:cat>
            <c:strRef>
              <c:f>'Data Dashboard'!$A$4:$A$9</c:f>
            </c:strRef>
          </c:cat>
          <c:val>
            <c:numRef>
              <c:f>'Data Dashboard'!$C$4:$C$9</c:f>
              <c:numCache/>
            </c:numRef>
          </c:val>
        </c:ser>
        <c:axId val="45921415"/>
        <c:axId val="515636766"/>
      </c:bar3DChart>
      <c:catAx>
        <c:axId val="45921415"/>
        <c:scaling>
          <c:orientation val="minMax"/>
        </c:scaling>
        <c:delete val="0"/>
        <c:axPos val="b"/>
        <c:title>
          <c:tx>
            <c:rich>
              <a:bodyPr/>
              <a:lstStyle/>
              <a:p>
                <a:pPr lvl="0">
                  <a:defRPr b="1" i="0">
                    <a:solidFill>
                      <a:srgbClr val="000000"/>
                    </a:solidFill>
                    <a:latin typeface="+mn-lt"/>
                  </a:defRPr>
                </a:pPr>
                <a:r>
                  <a:rPr b="1" i="0">
                    <a:solidFill>
                      <a:srgbClr val="000000"/>
                    </a:solidFill>
                    <a:latin typeface="+mn-lt"/>
                  </a:rPr>
                  <a:t/>
                </a:r>
              </a:p>
            </c:rich>
          </c:tx>
          <c:overlay val="0"/>
        </c:title>
        <c:numFmt formatCode="General" sourceLinked="1"/>
        <c:majorTickMark val="none"/>
        <c:minorTickMark val="none"/>
        <c:spPr/>
        <c:txPr>
          <a:bodyPr rot="0"/>
          <a:lstStyle/>
          <a:p>
            <a:pPr lvl="0">
              <a:defRPr b="0" i="0">
                <a:solidFill>
                  <a:srgbClr val="00FFFF"/>
                </a:solidFill>
                <a:latin typeface="serif"/>
              </a:defRPr>
            </a:pPr>
          </a:p>
        </c:txPr>
        <c:crossAx val="515636766"/>
      </c:catAx>
      <c:valAx>
        <c:axId val="515636766"/>
        <c:scaling>
          <c:orientation val="minMax"/>
        </c:scaling>
        <c:delete val="0"/>
        <c:axPos val="l"/>
        <c:title>
          <c:tx>
            <c:rich>
              <a:bodyPr/>
              <a:lstStyle/>
              <a:p>
                <a:pPr lvl="0">
                  <a:defRPr b="1" i="0">
                    <a:solidFill>
                      <a:srgbClr val="000000"/>
                    </a:solidFill>
                    <a:latin typeface="+mn-lt"/>
                  </a:defRPr>
                </a:pPr>
                <a:r>
                  <a:rPr b="1" i="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FFFF"/>
                </a:solidFill>
                <a:latin typeface="+mn-lt"/>
              </a:defRPr>
            </a:pPr>
          </a:p>
        </c:txPr>
        <c:crossAx val="45921415"/>
      </c:valAx>
    </c:plotArea>
    <c:plotVisOnly val="1"/>
  </c:chart>
  <c:spPr>
    <a:solidFill>
      <a:srgbClr val="FFFFFF">
        <a:alpha val="0"/>
      </a:srgbClr>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15"/>
      <c:rotY val="20"/>
      <c:depthPercent val="100"/>
      <c:rAngAx val="1"/>
    </c:view3D>
    <c:plotArea>
      <c:layout>
        <c:manualLayout>
          <c:xMode val="edge"/>
          <c:yMode val="edge"/>
          <c:x val="0.05"/>
          <c:y val="0.06477272727272727"/>
          <c:w val="0.7045454545454546"/>
          <c:h val="0.8159090909090909"/>
        </c:manualLayout>
      </c:layout>
      <c:bar3DChart>
        <c:barDir val="col"/>
        <c:grouping val="clustered"/>
        <c:ser>
          <c:idx val="2"/>
          <c:order val="2"/>
          <c:cat>
            <c:strRef>
              <c:f>'Data Dashboard'!$A$11</c:f>
            </c:strRef>
          </c:cat>
          <c:val>
            <c:numRef>
              <c:f>'Data Dashboard'!$C$11</c:f>
              <c:numCache/>
            </c:numRef>
          </c:val>
        </c:ser>
        <c:axId val="2049373489"/>
        <c:axId val="605285416"/>
      </c:bar3DChart>
      <c:catAx>
        <c:axId val="20493734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FFFF"/>
                </a:solidFill>
                <a:latin typeface="+mn-lt"/>
              </a:defRPr>
            </a:pPr>
          </a:p>
        </c:txPr>
        <c:crossAx val="605285416"/>
      </c:catAx>
      <c:valAx>
        <c:axId val="605285416"/>
        <c:scaling>
          <c:orientation val="minMax"/>
        </c:scaling>
        <c:delete val="0"/>
        <c:axPos val="l"/>
        <c:tickLblPos val="nextTo"/>
        <c:spPr>
          <a:ln>
            <a:noFill/>
          </a:ln>
        </c:spPr>
        <c:crossAx val="2049373489"/>
      </c:valAx>
      <c:bar3DChart>
        <c:barDir val="col"/>
        <c:grouping val="clustered"/>
        <c:ser>
          <c:idx val="0"/>
          <c:order val="0"/>
          <c:spPr>
            <a:solidFill>
              <a:schemeClr val="accent1"/>
            </a:solidFill>
            <a:ln cmpd="sng">
              <a:solidFill>
                <a:srgbClr val="000000"/>
              </a:solidFill>
            </a:ln>
          </c:spPr>
          <c:dPt>
            <c:idx val="0"/>
            <c:spPr>
              <a:solidFill>
                <a:srgbClr val="F4CCCC"/>
              </a:solidFill>
              <a:ln cmpd="sng">
                <a:solidFill>
                  <a:srgbClr val="000000"/>
                </a:solidFill>
              </a:ln>
            </c:spPr>
          </c:dPt>
          <c:dLbls>
            <c:numFmt formatCode="General" sourceLinked="1"/>
            <c:txPr>
              <a:bodyPr/>
              <a:lstStyle/>
              <a:p>
                <a:pPr lvl="0">
                  <a:defRPr b="1" sz="1000"/>
                </a:pPr>
              </a:p>
            </c:txPr>
            <c:showLegendKey val="0"/>
            <c:showVal val="1"/>
            <c:showCatName val="0"/>
            <c:showSerName val="0"/>
            <c:showPercent val="0"/>
            <c:showBubbleSize val="0"/>
          </c:dLbls>
          <c:cat>
            <c:strRef>
              <c:f>'Data Dashboard'!$A$11</c:f>
            </c:strRef>
          </c:cat>
          <c:val>
            <c:numRef>
              <c:f>'Data Dashboard'!$B$11</c:f>
              <c:numCache/>
            </c:numRef>
          </c:val>
        </c:ser>
        <c:ser>
          <c:idx val="1"/>
          <c:order val="1"/>
          <c:spPr>
            <a:solidFill>
              <a:schemeClr val="accent2"/>
            </a:solidFill>
            <a:ln cmpd="sng" w="76200">
              <a:solidFill>
                <a:srgbClr val="000000"/>
              </a:solidFill>
            </a:ln>
          </c:spPr>
          <c:dPt>
            <c:idx val="0"/>
            <c:spPr>
              <a:solidFill>
                <a:srgbClr val="FF0000">
                  <a:alpha val="90196"/>
                </a:srgbClr>
              </a:solidFill>
              <a:ln cmpd="sng">
                <a:solidFill>
                  <a:srgbClr val="000000"/>
                </a:solidFill>
              </a:ln>
            </c:spPr>
          </c:dPt>
          <c:cat>
            <c:strRef>
              <c:f>'Data Dashboard'!$A$11</c:f>
            </c:strRef>
          </c:cat>
          <c:val>
            <c:numRef>
              <c:f>'Data Dashboard'!$C$11</c:f>
              <c:numCache/>
            </c:numRef>
          </c:val>
        </c:ser>
        <c:axId val="509508534"/>
        <c:axId val="475808074"/>
      </c:bar3DChart>
      <c:catAx>
        <c:axId val="509508534"/>
        <c:scaling>
          <c:orientation val="minMax"/>
        </c:scaling>
        <c:delete val="0"/>
        <c:axPos val="b"/>
        <c:numFmt formatCode="General" sourceLinked="1"/>
        <c:majorTickMark val="none"/>
        <c:minorTickMark val="none"/>
        <c:spPr/>
        <c:txPr>
          <a:bodyPr/>
          <a:lstStyle/>
          <a:p>
            <a:pPr lvl="0">
              <a:defRPr b="0">
                <a:solidFill>
                  <a:srgbClr val="00FFFF"/>
                </a:solidFill>
                <a:latin typeface="+mn-lt"/>
              </a:defRPr>
            </a:pPr>
          </a:p>
        </c:txPr>
        <c:crossAx val="475808074"/>
      </c:catAx>
      <c:valAx>
        <c:axId val="475808074"/>
        <c:scaling>
          <c:orientation val="minMax"/>
          <c:max val="3.0E9"/>
        </c:scaling>
        <c:delete val="0"/>
        <c:axPos val="r"/>
        <c:title>
          <c:tx>
            <c:rich>
              <a:bodyPr/>
              <a:lstStyle/>
              <a:p>
                <a:pPr lvl="0">
                  <a:defRPr b="1">
                    <a:solidFill>
                      <a:srgbClr val="00FFFF"/>
                    </a:solidFill>
                    <a:latin typeface="+mn-lt"/>
                  </a:defRPr>
                </a:pPr>
                <a:r>
                  <a:rPr b="1">
                    <a:solidFill>
                      <a:srgbClr val="00FFFF"/>
                    </a:solidFill>
                    <a:latin typeface="+mn-lt"/>
                  </a:rPr>
                  <a:t/>
                </a:r>
              </a:p>
            </c:rich>
          </c:tx>
          <c:overlay val="0"/>
        </c:title>
        <c:numFmt formatCode="General" sourceLinked="1"/>
        <c:majorTickMark val="none"/>
        <c:minorTickMark val="none"/>
        <c:tickLblPos val="nextTo"/>
        <c:spPr>
          <a:ln/>
        </c:spPr>
        <c:txPr>
          <a:bodyPr/>
          <a:lstStyle/>
          <a:p>
            <a:pPr lvl="0">
              <a:defRPr b="0">
                <a:solidFill>
                  <a:srgbClr val="00FFFF"/>
                </a:solidFill>
                <a:latin typeface="+mn-lt"/>
              </a:defRPr>
            </a:pPr>
          </a:p>
        </c:txPr>
        <c:crossAx val="509508534"/>
        <c:crosses val="max"/>
      </c:valAx>
    </c:plotArea>
    <c:plotVisOnly val="1"/>
  </c:chart>
  <c:spPr>
    <a:solidFill>
      <a:srgbClr val="FFFFFF">
        <a:alpha val="0"/>
      </a:srgbClr>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200">
                <a:solidFill>
                  <a:srgbClr val="FFFFFF"/>
                </a:solidFill>
                <a:latin typeface="+mn-lt"/>
              </a:defRPr>
            </a:pPr>
            <a:r>
              <a:rPr b="0" sz="1200">
                <a:solidFill>
                  <a:srgbClr val="FFFFFF"/>
                </a:solidFill>
                <a:latin typeface="+mn-lt"/>
              </a:rPr>
              <a:t>Percentase Capaian PR</a:t>
            </a:r>
          </a:p>
        </c:rich>
      </c:tx>
      <c:layout>
        <c:manualLayout>
          <c:xMode val="edge"/>
          <c:yMode val="edge"/>
          <c:x val="0.04258997328304258"/>
          <c:y val="0.03207964601769909"/>
        </c:manualLayout>
      </c:layout>
      <c:overlay val="0"/>
    </c:title>
    <c:view3D>
      <c:rotX val="50"/>
      <c:perspective val="0"/>
    </c:view3D>
    <c:plotArea>
      <c:layout/>
      <c:doughnutChart>
        <c:varyColors val="1"/>
        <c:ser>
          <c:idx val="0"/>
          <c:order val="0"/>
          <c:dPt>
            <c:idx val="0"/>
            <c:explosion val="0"/>
            <c:spPr>
              <a:solidFill>
                <a:srgbClr val="00FFFF"/>
              </a:solidFill>
            </c:spPr>
          </c:dPt>
          <c:dPt>
            <c:idx val="1"/>
            <c:spPr>
              <a:solidFill>
                <a:srgbClr val="999999"/>
              </a:solidFill>
            </c:spPr>
          </c:dPt>
          <c:dLbls>
            <c:showLegendKey val="0"/>
            <c:showVal val="0"/>
            <c:showCatName val="0"/>
            <c:showSerName val="0"/>
            <c:showPercent val="1"/>
            <c:showBubbleSize val="0"/>
            <c:showLeaderLines val="1"/>
          </c:dLbls>
          <c:cat>
            <c:strRef>
              <c:f>'Data Dashboard'!$A$13:$A$14</c:f>
            </c:strRef>
          </c:cat>
          <c:val>
            <c:numRef>
              <c:f>'Data Dashboard'!$B$13:$B$14</c:f>
              <c:numCache/>
            </c:numRef>
          </c:val>
        </c:ser>
        <c:dLbls>
          <c:showLegendKey val="0"/>
          <c:showVal val="0"/>
          <c:showCatName val="0"/>
          <c:showSerName val="0"/>
          <c:showPercent val="0"/>
          <c:showBubbleSize val="0"/>
        </c:dLbls>
        <c:holeSize val="75"/>
      </c:doughnutChart>
    </c:plotArea>
    <c:legend>
      <c:legendPos val="b"/>
      <c:overlay val="0"/>
      <c:txPr>
        <a:bodyPr/>
        <a:lstStyle/>
        <a:p>
          <a:pPr lvl="0">
            <a:defRPr b="0">
              <a:solidFill>
                <a:srgbClr val="FFFFFF"/>
              </a:solidFill>
              <a:latin typeface="+mn-lt"/>
            </a:defRPr>
          </a:pPr>
        </a:p>
      </c:txPr>
    </c:legend>
    <c:plotVisOnly val="1"/>
  </c:chart>
  <c:spPr>
    <a:solidFill>
      <a:srgbClr val="FFFFFF">
        <a:alpha val="0"/>
      </a:srgbClr>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200">
                <a:solidFill>
                  <a:srgbClr val="FFFFFF"/>
                </a:solidFill>
                <a:latin typeface="+mn-lt"/>
              </a:defRPr>
            </a:pPr>
            <a:r>
              <a:rPr b="1" i="0" sz="1200">
                <a:solidFill>
                  <a:srgbClr val="FFFFFF"/>
                </a:solidFill>
                <a:latin typeface="+mn-lt"/>
              </a:rPr>
              <a:t>Capaian Lainnya</a:t>
            </a:r>
          </a:p>
        </c:rich>
      </c:tx>
      <c:layout>
        <c:manualLayout>
          <c:xMode val="edge"/>
          <c:yMode val="edge"/>
          <c:x val="0.007244318181818187"/>
          <c:y val="0.0011484013758720271"/>
        </c:manualLayout>
      </c:layout>
      <c:overlay val="0"/>
    </c:title>
    <c:view3D>
      <c:rotX val="15"/>
      <c:rotY val="20"/>
      <c:depthPercent val="100"/>
      <c:rAngAx val="1"/>
    </c:view3D>
    <c:plotArea>
      <c:layout>
        <c:manualLayout>
          <c:xMode val="edge"/>
          <c:yMode val="edge"/>
          <c:x val="0.1494476895991021"/>
          <c:y val="0.11593558484570796"/>
          <c:w val="0.7968520019672412"/>
          <c:h val="0.6996072331608143"/>
        </c:manualLayout>
      </c:layout>
      <c:bar3DChart>
        <c:barDir val="col"/>
        <c:grouping val="clustered"/>
        <c:ser>
          <c:idx val="0"/>
          <c:order val="0"/>
          <c:tx>
            <c:strRef>
              <c:f>'Data Dashboard'!$B$18</c:f>
            </c:strRef>
          </c:tx>
          <c:spPr>
            <a:solidFill>
              <a:srgbClr val="FF0000"/>
            </a:solidFill>
            <a:ln cmpd="sng" w="76200">
              <a:solidFill>
                <a:srgbClr val="000000"/>
              </a:solidFill>
              <a:prstDash val="dash"/>
            </a:ln>
          </c:spPr>
          <c:dPt>
            <c:idx val="0"/>
            <c:spPr>
              <a:solidFill>
                <a:srgbClr val="45818E"/>
              </a:solidFill>
              <a:ln cmpd="sng">
                <a:solidFill>
                  <a:srgbClr val="000000"/>
                </a:solidFill>
                <a:prstDash val="dash"/>
              </a:ln>
            </c:spPr>
          </c:dPt>
          <c:dPt>
            <c:idx val="1"/>
            <c:spPr>
              <a:solidFill>
                <a:srgbClr val="A64D79"/>
              </a:solidFill>
              <a:ln cmpd="sng">
                <a:solidFill>
                  <a:srgbClr val="000000"/>
                </a:solidFill>
              </a:ln>
            </c:spPr>
          </c:dPt>
          <c:dPt>
            <c:idx val="2"/>
            <c:spPr>
              <a:solidFill>
                <a:srgbClr val="D9EAD3"/>
              </a:solidFill>
              <a:ln cmpd="sng">
                <a:solidFill>
                  <a:srgbClr val="000000"/>
                </a:solidFill>
              </a:ln>
            </c:spPr>
          </c:dPt>
          <c:dPt>
            <c:idx val="3"/>
            <c:spPr>
              <a:solidFill>
                <a:srgbClr val="D9D2E9"/>
              </a:solidFill>
              <a:ln cmpd="sng">
                <a:solidFill>
                  <a:srgbClr val="000000"/>
                </a:solidFill>
              </a:ln>
            </c:spPr>
          </c:dPt>
          <c:dPt>
            <c:idx val="4"/>
            <c:spPr>
              <a:solidFill>
                <a:srgbClr val="C9DAF8"/>
              </a:solidFill>
              <a:ln cmpd="sng">
                <a:solidFill>
                  <a:srgbClr val="000000"/>
                </a:solidFill>
              </a:ln>
            </c:spPr>
          </c:dPt>
          <c:dPt>
            <c:idx val="5"/>
            <c:spPr>
              <a:solidFill>
                <a:srgbClr val="FCE5CD"/>
              </a:solidFill>
              <a:ln cmpd="sng">
                <a:solidFill>
                  <a:srgbClr val="000000"/>
                </a:solidFill>
              </a:ln>
            </c:spPr>
          </c:dPt>
          <c:dPt>
            <c:idx val="6"/>
            <c:spPr>
              <a:solidFill>
                <a:srgbClr val="F4CCCC"/>
              </a:solidFill>
              <a:ln cmpd="sng">
                <a:solidFill>
                  <a:srgbClr val="000000"/>
                </a:solidFill>
              </a:ln>
            </c:spPr>
          </c:dPt>
          <c:dLbls>
            <c:numFmt formatCode="General" sourceLinked="1"/>
            <c:txPr>
              <a:bodyPr/>
              <a:lstStyle/>
              <a:p>
                <a:pPr lvl="0">
                  <a:defRPr b="1" i="0" sz="1400"/>
                </a:pPr>
              </a:p>
            </c:txPr>
            <c:showLegendKey val="0"/>
            <c:showVal val="1"/>
            <c:showCatName val="0"/>
            <c:showSerName val="0"/>
            <c:showPercent val="0"/>
            <c:showBubbleSize val="0"/>
          </c:dLbls>
          <c:cat>
            <c:strRef>
              <c:f>'Data Dashboard'!$A$19:$A$20</c:f>
            </c:strRef>
          </c:cat>
          <c:val>
            <c:numRef>
              <c:f>'Data Dashboard'!$B$19:$B$20</c:f>
              <c:numCache/>
            </c:numRef>
          </c:val>
        </c:ser>
        <c:axId val="1716065584"/>
        <c:axId val="893902191"/>
      </c:bar3DChart>
      <c:catAx>
        <c:axId val="1716065584"/>
        <c:scaling>
          <c:orientation val="minMax"/>
        </c:scaling>
        <c:delete val="0"/>
        <c:axPos val="b"/>
        <c:numFmt formatCode="General" sourceLinked="1"/>
        <c:majorTickMark val="none"/>
        <c:minorTickMark val="none"/>
        <c:spPr/>
        <c:txPr>
          <a:bodyPr rot="0"/>
          <a:lstStyle/>
          <a:p>
            <a:pPr lvl="0">
              <a:defRPr b="0" i="0">
                <a:solidFill>
                  <a:srgbClr val="00FFFF"/>
                </a:solidFill>
                <a:latin typeface="serif"/>
              </a:defRPr>
            </a:pPr>
          </a:p>
        </c:txPr>
        <c:crossAx val="893902191"/>
      </c:catAx>
      <c:valAx>
        <c:axId val="893902191"/>
        <c:scaling>
          <c:orientation val="minMax"/>
        </c:scaling>
        <c:delete val="0"/>
        <c:axPos val="r"/>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3600">
                <a:solidFill>
                  <a:srgbClr val="000000"/>
                </a:solidFill>
                <a:latin typeface="+mn-lt"/>
              </a:defRPr>
            </a:pPr>
          </a:p>
        </c:txPr>
        <c:crossAx val="1716065584"/>
        <c:crosses val="max"/>
      </c:valAx>
    </c:plotArea>
    <c:plotVisOnly val="1"/>
  </c:chart>
  <c:spPr>
    <a:solidFill>
      <a:srgbClr val="FFFFFF">
        <a:alpha val="0"/>
      </a:srgbClr>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3376383763837635"/>
          <c:y val="0.05000000000000003"/>
          <c:w val="0.9324723247232474"/>
          <c:h val="0.6193989071038251"/>
        </c:manualLayout>
      </c:layout>
      <c:doughnutChart>
        <c:varyColors val="1"/>
        <c:ser>
          <c:idx val="0"/>
          <c:order val="0"/>
          <c:tx>
            <c:strRef>
              <c:f>'Data Dashboard'!$C$36</c:f>
            </c:strRef>
          </c:tx>
          <c:dPt>
            <c:idx val="0"/>
            <c:explosion val="25"/>
            <c:spPr>
              <a:solidFill>
                <a:srgbClr val="00FF00"/>
              </a:solidFill>
            </c:spPr>
          </c:dPt>
          <c:dPt>
            <c:idx val="1"/>
            <c:explosion val="0"/>
            <c:spPr>
              <a:solidFill>
                <a:srgbClr val="9900FF"/>
              </a:solidFill>
            </c:spPr>
          </c:dPt>
          <c:dPt>
            <c:idx val="2"/>
            <c:explosion val="25"/>
            <c:spPr>
              <a:solidFill>
                <a:srgbClr val="FF9900"/>
              </a:solidFill>
            </c:spPr>
          </c:dPt>
          <c:dLbls>
            <c:showLegendKey val="0"/>
            <c:showVal val="1"/>
            <c:showCatName val="0"/>
            <c:showSerName val="0"/>
            <c:showPercent val="0"/>
            <c:showBubbleSize val="0"/>
            <c:showLeaderLines val="1"/>
          </c:dLbls>
          <c:cat>
            <c:strRef>
              <c:f>'Data Dashboard'!$A$37:$A$39</c:f>
            </c:strRef>
          </c:cat>
          <c:val>
            <c:numRef>
              <c:f>'Data Dashboard'!$C$37:$C$39</c:f>
              <c:numCache/>
            </c:numRef>
          </c:val>
        </c:ser>
        <c:dLbls>
          <c:showLegendKey val="0"/>
          <c:showVal val="0"/>
          <c:showCatName val="0"/>
          <c:showSerName val="0"/>
          <c:showPercent val="0"/>
          <c:showBubbleSize val="0"/>
        </c:dLbls>
        <c:holeSize val="50"/>
      </c:doughnutChart>
    </c:plotArea>
    <c:legend>
      <c:legendPos val="r"/>
      <c:layout>
        <c:manualLayout>
          <c:xMode val="edge"/>
          <c:yMode val="edge"/>
          <c:x val="0.08280932693974591"/>
          <c:y val="0.7994264859228363"/>
        </c:manualLayout>
      </c:layout>
      <c:overlay val="0"/>
      <c:txPr>
        <a:bodyPr/>
        <a:lstStyle/>
        <a:p>
          <a:pPr lvl="0">
            <a:defRPr b="0">
              <a:solidFill>
                <a:srgbClr val="FFFFFF"/>
              </a:solidFill>
              <a:latin typeface="+mn-lt"/>
            </a:defRPr>
          </a:pPr>
        </a:p>
      </c:txPr>
    </c:legend>
    <c:plotVisOnly val="1"/>
  </c:chart>
  <c:spPr>
    <a:solidFill>
      <a:srgbClr val="FFFFFF">
        <a:alpha val="0"/>
      </a:srgbClr>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14770889748477387"/>
          <c:y val="0.3409759722879173"/>
          <c:w val="0.9045969343122925"/>
          <c:h val="0.4734493024304711"/>
        </c:manualLayout>
      </c:layout>
      <c:barChart>
        <c:barDir val="col"/>
        <c:grouping val="stacked"/>
        <c:ser>
          <c:idx val="0"/>
          <c:order val="0"/>
          <c:tx>
            <c:strRef>
              <c:f>'Data Dashboard'!$B$43</c:f>
            </c:strRef>
          </c:tx>
          <c:spPr>
            <a:solidFill>
              <a:srgbClr val="EAD1DC"/>
            </a:solidFill>
            <a:ln cmpd="sng">
              <a:solidFill>
                <a:srgbClr val="000000"/>
              </a:solidFill>
            </a:ln>
          </c:spPr>
          <c:dPt>
            <c:idx val="0"/>
            <c:spPr>
              <a:solidFill>
                <a:srgbClr val="EAD1DC"/>
              </a:solidFill>
              <a:ln cmpd="sng">
                <a:solidFill>
                  <a:srgbClr val="000000"/>
                </a:solidFill>
              </a:ln>
            </c:spPr>
          </c:dPt>
          <c:dPt>
            <c:idx val="1"/>
            <c:spPr>
              <a:solidFill>
                <a:srgbClr val="EAD1DC"/>
              </a:solidFill>
              <a:ln cmpd="sng">
                <a:solidFill>
                  <a:srgbClr val="000000"/>
                </a:solidFill>
              </a:ln>
            </c:spPr>
          </c:dPt>
          <c:dPt>
            <c:idx val="2"/>
            <c:spPr>
              <a:solidFill>
                <a:srgbClr val="EAD1DC"/>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'Data Dashboard'!$A$44:$A$46</c:f>
            </c:strRef>
          </c:cat>
          <c:val>
            <c:numRef>
              <c:f>'Data Dashboard'!$B$44:$B$46</c:f>
              <c:numCache/>
            </c:numRef>
          </c:val>
        </c:ser>
        <c:ser>
          <c:idx val="1"/>
          <c:order val="1"/>
          <c:tx>
            <c:strRef>
              <c:f>'Data Dashboard'!$C$43</c:f>
            </c:strRef>
          </c:tx>
          <c:spPr>
            <a:solidFill>
              <a:srgbClr val="FF9900"/>
            </a:solidFill>
            <a:ln cmpd="sng">
              <a:solidFill>
                <a:srgbClr val="000000"/>
              </a:solidFill>
            </a:ln>
          </c:spPr>
          <c:dPt>
            <c:idx val="0"/>
            <c:spPr>
              <a:solidFill>
                <a:srgbClr val="FF9900"/>
              </a:solidFill>
              <a:ln cmpd="sng">
                <a:solidFill>
                  <a:srgbClr val="000000"/>
                </a:solidFill>
              </a:ln>
            </c:spPr>
          </c:dPt>
          <c:dPt>
            <c:idx val="1"/>
            <c:spPr>
              <a:solidFill>
                <a:srgbClr val="FF9900"/>
              </a:solidFill>
              <a:ln cmpd="sng">
                <a:solidFill>
                  <a:srgbClr val="000000"/>
                </a:solidFill>
              </a:ln>
            </c:spPr>
          </c:dPt>
          <c:dPt>
            <c:idx val="2"/>
            <c:spPr>
              <a:solidFill>
                <a:srgbClr val="FF9900"/>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'Data Dashboard'!$A$44:$A$46</c:f>
            </c:strRef>
          </c:cat>
          <c:val>
            <c:numRef>
              <c:f>'Data Dashboard'!$C$44:$C$46</c:f>
              <c:numCache/>
            </c:numRef>
          </c:val>
        </c:ser>
        <c:overlap val="100"/>
        <c:axId val="310089623"/>
        <c:axId val="1673191783"/>
      </c:barChart>
      <c:catAx>
        <c:axId val="31008962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CCCCCC"/>
                </a:solidFill>
                <a:latin typeface="+mn-lt"/>
              </a:defRPr>
            </a:pPr>
          </a:p>
        </c:txPr>
        <c:crossAx val="1673191783"/>
      </c:catAx>
      <c:valAx>
        <c:axId val="1673191783"/>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none"/>
        <c:minorTickMark val="none"/>
        <c:tickLblPos val="nextTo"/>
        <c:spPr>
          <a:ln/>
        </c:spPr>
        <c:txPr>
          <a:bodyPr/>
          <a:lstStyle/>
          <a:p>
            <a:pPr lvl="0">
              <a:defRPr b="0">
                <a:solidFill>
                  <a:srgbClr val="999999"/>
                </a:solidFill>
                <a:latin typeface="+mn-lt"/>
              </a:defRPr>
            </a:pPr>
          </a:p>
        </c:txPr>
        <c:crossAx val="310089623"/>
      </c:valAx>
    </c:plotArea>
    <c:legend>
      <c:legendPos val="tr"/>
      <c:layout>
        <c:manualLayout>
          <c:xMode val="edge"/>
          <c:yMode val="edge"/>
          <c:x val="0.10152984738183908"/>
          <c:y val="0.1417036863409505"/>
        </c:manualLayout>
      </c:layout>
      <c:overlay val="1"/>
      <c:txPr>
        <a:bodyPr/>
        <a:lstStyle/>
        <a:p>
          <a:pPr lvl="0">
            <a:defRPr b="0" sz="1000">
              <a:solidFill>
                <a:srgbClr val="FFFFFF"/>
              </a:solidFill>
              <a:latin typeface="+mn-lt"/>
            </a:defRPr>
          </a:pPr>
        </a:p>
      </c:txPr>
    </c:legend>
    <c:plotVisOnly val="1"/>
  </c:chart>
  <c:spPr>
    <a:solidFill>
      <a:srgbClr val="FFFFFF">
        <a:alpha val="0"/>
      </a:srgbClr>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dPt>
            <c:idx val="0"/>
            <c:explosion val="0"/>
            <c:spPr>
              <a:solidFill>
                <a:srgbClr val="4A86E8"/>
              </a:solidFill>
            </c:spPr>
          </c:dPt>
          <c:dPt>
            <c:idx val="1"/>
            <c:explosion val="0"/>
            <c:spPr>
              <a:solidFill>
                <a:srgbClr val="FF0000"/>
              </a:solidFill>
            </c:spPr>
          </c:dPt>
          <c:dPt>
            <c:idx val="2"/>
            <c:spPr>
              <a:solidFill>
                <a:srgbClr val="D9EAD3"/>
              </a:solidFill>
            </c:spPr>
          </c:dPt>
          <c:dPt>
            <c:idx val="3"/>
            <c:spPr>
              <a:solidFill>
                <a:srgbClr val="C9DAF8"/>
              </a:solidFill>
            </c:spPr>
          </c:dPt>
          <c:dLbls>
            <c:showLegendKey val="0"/>
            <c:showVal val="1"/>
            <c:showCatName val="0"/>
            <c:showSerName val="0"/>
            <c:showPercent val="0"/>
            <c:showBubbleSize val="0"/>
            <c:showLeaderLines val="1"/>
          </c:dLbls>
          <c:cat>
            <c:strRef>
              <c:f>'Data Dashboard'!$A$68:$A$71</c:f>
            </c:strRef>
          </c:cat>
          <c:val>
            <c:numRef>
              <c:f>'Data Dashboard'!$B$68:$B$71</c:f>
              <c:numCache/>
            </c:numRef>
          </c:val>
        </c:ser>
        <c:dLbls>
          <c:showLegendKey val="0"/>
          <c:showVal val="0"/>
          <c:showCatName val="0"/>
          <c:showSerName val="0"/>
          <c:showPercent val="0"/>
          <c:showBubbleSize val="0"/>
        </c:dLbls>
        <c:holeSize val="50"/>
      </c:doughnutChart>
    </c:plotArea>
    <c:legend>
      <c:legendPos val="b"/>
      <c:layout>
        <c:manualLayout>
          <c:xMode val="edge"/>
          <c:yMode val="edge"/>
          <c:x val="0.022383077823037178"/>
          <c:y val="0.7984489051094891"/>
        </c:manualLayout>
      </c:layout>
      <c:overlay val="0"/>
      <c:txPr>
        <a:bodyPr/>
        <a:lstStyle/>
        <a:p>
          <a:pPr lvl="0">
            <a:defRPr b="0">
              <a:solidFill>
                <a:srgbClr val="FFFFFF"/>
              </a:solidFill>
              <a:latin typeface="+mn-lt"/>
            </a:defRPr>
          </a:pPr>
        </a:p>
      </c:txPr>
    </c:legend>
    <c:plotVisOnly val="1"/>
  </c:chart>
  <c:spPr>
    <a:solidFill>
      <a:srgbClr val="FFFFFF">
        <a:alpha val="0"/>
      </a:srgbClr>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manualLayout>
          <c:xMode val="edge"/>
          <c:yMode val="edge"/>
          <c:x val="0.029975429975429943"/>
          <c:y val="0.050000000000000024"/>
          <c:w val="0.49894023267517246"/>
          <c:h val="0.7800000000000001"/>
        </c:manualLayout>
      </c:layout>
      <c:pie3DChart>
        <c:varyColors val="1"/>
        <c:ser>
          <c:idx val="0"/>
          <c:order val="0"/>
          <c:dPt>
            <c:idx val="0"/>
            <c:explosion val="0"/>
            <c:spPr>
              <a:solidFill>
                <a:srgbClr val="FFF2CC"/>
              </a:solidFill>
            </c:spPr>
          </c:dPt>
          <c:dPt>
            <c:idx val="1"/>
            <c:spPr>
              <a:solidFill>
                <a:srgbClr val="B6D7A8"/>
              </a:solidFill>
            </c:spPr>
          </c:dPt>
          <c:dLbls>
            <c:showLegendKey val="0"/>
            <c:showVal val="1"/>
            <c:showCatName val="0"/>
            <c:showSerName val="0"/>
            <c:showPercent val="0"/>
            <c:showBubbleSize val="0"/>
            <c:showLeaderLines val="1"/>
          </c:dLbls>
          <c:cat>
            <c:strRef>
              <c:f>'Data Dashboard'!$F$11:$F$12</c:f>
            </c:strRef>
          </c:cat>
          <c:val>
            <c:numRef>
              <c:f>'Data Dashboard'!$G$11:$G$12</c:f>
              <c:numCache/>
            </c:numRef>
          </c:val>
        </c:ser>
        <c:dLbls>
          <c:showLegendKey val="0"/>
          <c:showVal val="0"/>
          <c:showCatName val="0"/>
          <c:showSerName val="0"/>
          <c:showPercent val="0"/>
          <c:showBubbleSize val="0"/>
        </c:dLbls>
      </c:pie3DChart>
    </c:plotArea>
    <c:legend>
      <c:legendPos val="r"/>
      <c:layout>
        <c:manualLayout>
          <c:xMode val="edge"/>
          <c:yMode val="edge"/>
          <c:x val="0.47024569810711275"/>
          <c:y val="0.09075418994413408"/>
        </c:manualLayout>
      </c:layout>
      <c:overlay val="0"/>
      <c:txPr>
        <a:bodyPr/>
        <a:lstStyle/>
        <a:p>
          <a:pPr lvl="0">
            <a:defRPr b="0">
              <a:solidFill>
                <a:srgbClr val="FFFFFF"/>
              </a:solidFill>
              <a:latin typeface="+mn-lt"/>
            </a:defRPr>
          </a:pPr>
        </a:p>
      </c:txPr>
    </c:legend>
    <c:plotVisOnly val="1"/>
  </c:chart>
  <c:spPr>
    <a:solidFill>
      <a:srgbClr val="FFFFFF">
        <a:alpha val="0"/>
      </a:srgbClr>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32781456953642385"/>
          <c:y val="0.04986263736263738"/>
          <c:w val="0.640480132450331"/>
          <c:h val="0.7653846153846154"/>
        </c:manualLayout>
      </c:layout>
      <c:doughnutChart>
        <c:varyColors val="1"/>
        <c:ser>
          <c:idx val="0"/>
          <c:order val="0"/>
          <c:dPt>
            <c:idx val="0"/>
            <c:explosion val="0"/>
            <c:spPr>
              <a:solidFill>
                <a:srgbClr val="E06666"/>
              </a:solidFill>
            </c:spPr>
          </c:dPt>
          <c:dPt>
            <c:idx val="1"/>
            <c:spPr>
              <a:solidFill>
                <a:srgbClr val="EAD1DC"/>
              </a:solidFill>
            </c:spPr>
          </c:dPt>
          <c:dLbls>
            <c:showLegendKey val="0"/>
            <c:showVal val="0"/>
            <c:showCatName val="0"/>
            <c:showSerName val="0"/>
            <c:showPercent val="1"/>
            <c:showBubbleSize val="0"/>
            <c:showLeaderLines val="1"/>
          </c:dLbls>
          <c:cat>
            <c:strRef>
              <c:f>'Data Dashboard'!$F$13:$F$14</c:f>
            </c:strRef>
          </c:cat>
          <c:val>
            <c:numRef>
              <c:f>'Data Dashboard'!$G$13:$G$14</c:f>
              <c:numCache/>
            </c:numRef>
          </c:val>
        </c:ser>
        <c:dLbls>
          <c:showLegendKey val="0"/>
          <c:showVal val="0"/>
          <c:showCatName val="0"/>
          <c:showSerName val="0"/>
          <c:showPercent val="0"/>
          <c:showBubbleSize val="0"/>
        </c:dLbls>
        <c:holeSize val="25"/>
      </c:doughnutChart>
    </c:plotArea>
    <c:legend>
      <c:legendPos val="b"/>
      <c:overlay val="0"/>
      <c:txPr>
        <a:bodyPr/>
        <a:lstStyle/>
        <a:p>
          <a:pPr lvl="0">
            <a:defRPr b="0">
              <a:solidFill>
                <a:srgbClr val="FFFFFF"/>
              </a:solidFill>
              <a:latin typeface="+mn-lt"/>
            </a:defRPr>
          </a:pPr>
        </a:p>
      </c:txPr>
    </c:legend>
    <c:plotVisOnly val="1"/>
  </c:chart>
  <c:spPr>
    <a:solidFill>
      <a:srgbClr val="FFFFFF">
        <a:alpha val="0"/>
      </a:srgbClr>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pie3DChart>
        <c:varyColors val="1"/>
        <c:ser>
          <c:idx val="0"/>
          <c:order val="0"/>
          <c:dPt>
            <c:idx val="0"/>
            <c:spPr>
              <a:solidFill>
                <a:srgbClr val="191D43"/>
              </a:solidFill>
            </c:spPr>
          </c:dPt>
          <c:dPt>
            <c:idx val="1"/>
          </c:dPt>
          <c:dPt>
            <c:idx val="2"/>
          </c:dPt>
          <c:dLbls>
            <c:showLegendKey val="0"/>
            <c:showVal val="1"/>
            <c:showCatName val="0"/>
            <c:showSerName val="0"/>
            <c:showPercent val="0"/>
            <c:showBubbleSize val="0"/>
            <c:showLeaderLines val="1"/>
          </c:dLbls>
          <c:cat>
            <c:strRef>
              <c:f>'Data Dashboard'!$C$12:$C$14</c:f>
            </c:strRef>
          </c:cat>
          <c:val>
            <c:numRef>
              <c:f>'Data Dashboard'!$C$12:$C$14</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grouping val="stacked"/>
        <c:ser>
          <c:idx val="0"/>
          <c:order val="0"/>
          <c:tx>
            <c:strRef>
              <c:f>'Data Dashboard'!$B$29</c:f>
            </c:strRef>
          </c:tx>
          <c:spPr>
            <a:solidFill>
              <a:srgbClr val="DBE5F1"/>
            </a:solidFill>
            <a:ln cmpd="sng">
              <a:solidFill>
                <a:srgbClr val="FF9900">
                  <a:alpha val="100000"/>
                </a:srgbClr>
              </a:solidFill>
            </a:ln>
          </c:spPr>
          <c:dPt>
            <c:idx val="0"/>
            <c:spPr>
              <a:solidFill>
                <a:srgbClr val="F9CB9C"/>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'Data Dashboard'!$A$30</c:f>
            </c:strRef>
          </c:cat>
          <c:val>
            <c:numRef>
              <c:f>'Data Dashboard'!$B$30</c:f>
              <c:numCache/>
            </c:numRef>
          </c:val>
        </c:ser>
        <c:ser>
          <c:idx val="1"/>
          <c:order val="1"/>
          <c:tx>
            <c:strRef>
              <c:f>'Data Dashboard'!$C$29</c:f>
            </c:strRef>
          </c:tx>
          <c:spPr>
            <a:solidFill>
              <a:srgbClr val="00FFFF"/>
            </a:solidFill>
            <a:ln cmpd="sng">
              <a:solidFill>
                <a:srgbClr val="000000"/>
              </a:solidFill>
              <a:prstDash val="solid"/>
            </a:ln>
          </c:spPr>
          <c:dPt>
            <c:idx val="0"/>
            <c:spPr>
              <a:solidFill>
                <a:srgbClr val="00FFFF">
                  <a:alpha val="90196"/>
                </a:srgbClr>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'Data Dashboard'!$A$30</c:f>
            </c:strRef>
          </c:cat>
          <c:val>
            <c:numRef>
              <c:f>'Data Dashboard'!$C$30</c:f>
              <c:numCache/>
            </c:numRef>
          </c:val>
        </c:ser>
        <c:overlap val="100"/>
        <c:axId val="1491970754"/>
        <c:axId val="1744399394"/>
      </c:barChart>
      <c:catAx>
        <c:axId val="149197075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FFFFFF"/>
                </a:solidFill>
                <a:latin typeface="+mn-lt"/>
              </a:defRPr>
            </a:pPr>
          </a:p>
        </c:txPr>
        <c:crossAx val="1744399394"/>
      </c:catAx>
      <c:valAx>
        <c:axId val="174439939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000000"/>
                </a:solidFill>
                <a:latin typeface="+mn-lt"/>
              </a:defRPr>
            </a:pPr>
          </a:p>
        </c:txPr>
        <c:crossAx val="1491970754"/>
        <c:crosses val="max"/>
      </c:valAx>
    </c:plotArea>
    <c:legend>
      <c:legendPos val="t"/>
      <c:layout>
        <c:manualLayout>
          <c:xMode val="edge"/>
          <c:yMode val="edge"/>
          <c:x val="0.30583708389945646"/>
          <c:y val="0.04946808510638298"/>
        </c:manualLayout>
      </c:layout>
      <c:overlay val="0"/>
      <c:txPr>
        <a:bodyPr/>
        <a:lstStyle/>
        <a:p>
          <a:pPr lvl="0">
            <a:defRPr b="0">
              <a:solidFill>
                <a:srgbClr val="FFFFFF"/>
              </a:solidFill>
              <a:latin typeface="+mn-lt"/>
            </a:defRPr>
          </a:pPr>
        </a:p>
      </c:txPr>
    </c:legend>
    <c:plotVisOnly val="1"/>
  </c:chart>
  <c:spPr>
    <a:solidFill>
      <a:srgbClr val="FFFFFF">
        <a:alpha val="0"/>
      </a:srgbClr>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grouping val="stacked"/>
        <c:ser>
          <c:idx val="0"/>
          <c:order val="0"/>
          <c:spPr>
            <a:solidFill>
              <a:schemeClr val="accent1"/>
            </a:solidFill>
            <a:ln cmpd="sng">
              <a:solidFill>
                <a:srgbClr val="000000"/>
              </a:solidFill>
            </a:ln>
          </c:spPr>
          <c:dPt>
            <c:idx val="0"/>
            <c:spPr>
              <a:solidFill>
                <a:srgbClr val="B6D7A8"/>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'Data Dashboard'!$A$31</c:f>
            </c:strRef>
          </c:cat>
          <c:val>
            <c:numRef>
              <c:f>'Data Dashboard'!$B$31</c:f>
              <c:numCache/>
            </c:numRef>
          </c:val>
        </c:ser>
        <c:ser>
          <c:idx val="1"/>
          <c:order val="1"/>
          <c:spPr>
            <a:solidFill>
              <a:schemeClr val="accent2"/>
            </a:solidFill>
            <a:ln cmpd="sng">
              <a:solidFill>
                <a:srgbClr val="000000"/>
              </a:solidFill>
            </a:ln>
          </c:spPr>
          <c:dPt>
            <c:idx val="0"/>
            <c:spPr>
              <a:solidFill>
                <a:srgbClr val="00FFFF">
                  <a:alpha val="90196"/>
                </a:srgbClr>
              </a:solidFill>
              <a:ln cmpd="sng">
                <a:solidFill>
                  <a:srgbClr val="000000"/>
                </a:solidFill>
              </a:ln>
            </c:spPr>
          </c:dPt>
          <c:dLbls>
            <c:dLbl>
              <c:idx val="0"/>
              <c:numFmt formatCode="General" sourceLinked="1"/>
              <c:txPr>
                <a:bodyPr/>
                <a:lstStyle/>
                <a:p>
                  <a:pPr lvl="0">
                    <a:defRPr>
                      <a:solidFill>
                        <a:srgbClr val="000000"/>
                      </a:solidFill>
                    </a:defRPr>
                  </a:pPr>
                </a:p>
              </c:txPr>
              <c:showLegendKey val="0"/>
              <c:showVal val="1"/>
              <c:showCatName val="0"/>
              <c:showSerName val="0"/>
              <c:showPercent val="0"/>
              <c:showBubbleSize val="0"/>
            </c:dLbl>
            <c:numFmt formatCode="General" sourceLinked="1"/>
            <c:txPr>
              <a:bodyPr/>
              <a:lstStyle/>
              <a:p>
                <a:pPr lvl="0">
                  <a:defRPr>
                    <a:solidFill>
                      <a:srgbClr val="FFFFFF"/>
                    </a:solidFill>
                  </a:defRPr>
                </a:pPr>
              </a:p>
            </c:txPr>
            <c:showLegendKey val="0"/>
            <c:showVal val="1"/>
            <c:showCatName val="0"/>
            <c:showSerName val="0"/>
            <c:showPercent val="0"/>
            <c:showBubbleSize val="0"/>
          </c:dLbls>
          <c:cat>
            <c:strRef>
              <c:f>'Data Dashboard'!$A$31</c:f>
            </c:strRef>
          </c:cat>
          <c:val>
            <c:numRef>
              <c:f>'Data Dashboard'!$C$31</c:f>
              <c:numCache/>
            </c:numRef>
          </c:val>
        </c:ser>
        <c:ser>
          <c:idx val="2"/>
          <c:order val="2"/>
          <c:cat>
            <c:strRef>
              <c:f>'Data Dashboard'!$A$31</c:f>
            </c:strRef>
          </c:cat>
          <c:val>
            <c:numRef>
              <c:f>'Data Dashboard'!$A$31</c:f>
              <c:numCache/>
            </c:numRef>
          </c:val>
        </c:ser>
        <c:overlap val="100"/>
        <c:axId val="1542598782"/>
        <c:axId val="1767311439"/>
      </c:barChart>
      <c:catAx>
        <c:axId val="1542598782"/>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FFFFFF"/>
                </a:solidFill>
                <a:latin typeface="+mn-lt"/>
              </a:defRPr>
            </a:pPr>
          </a:p>
        </c:txPr>
        <c:crossAx val="1767311439"/>
      </c:catAx>
      <c:valAx>
        <c:axId val="176731143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000000"/>
                </a:solidFill>
                <a:latin typeface="+mn-lt"/>
              </a:defRPr>
            </a:pPr>
          </a:p>
        </c:txPr>
        <c:crossAx val="1542598782"/>
        <c:crosses val="max"/>
      </c:valAx>
    </c:plotArea>
    <c:plotVisOnly val="1"/>
  </c:chart>
  <c:spPr>
    <a:solidFill>
      <a:srgbClr val="FFFFFF">
        <a:alpha val="0"/>
      </a:srgbClr>
    </a:solidFill>
  </c:spPr>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grouping val="stacked"/>
        <c:ser>
          <c:idx val="0"/>
          <c:order val="0"/>
          <c:spPr>
            <a:solidFill>
              <a:schemeClr val="accent1"/>
            </a:solidFill>
            <a:ln cmpd="sng">
              <a:solidFill>
                <a:srgbClr val="000000"/>
              </a:solidFill>
            </a:ln>
          </c:spPr>
          <c:dPt>
            <c:idx val="0"/>
            <c:spPr>
              <a:solidFill>
                <a:srgbClr val="A4C2F4"/>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'Data Dashboard'!$A$32</c:f>
            </c:strRef>
          </c:cat>
          <c:val>
            <c:numRef>
              <c:f>'Data Dashboard'!$B$32</c:f>
              <c:numCache/>
            </c:numRef>
          </c:val>
        </c:ser>
        <c:ser>
          <c:idx val="1"/>
          <c:order val="1"/>
          <c:spPr>
            <a:solidFill>
              <a:schemeClr val="accent2"/>
            </a:solidFill>
            <a:ln cmpd="sng">
              <a:solidFill>
                <a:srgbClr val="000000"/>
              </a:solidFill>
            </a:ln>
          </c:spPr>
          <c:dPt>
            <c:idx val="0"/>
            <c:spPr>
              <a:solidFill>
                <a:srgbClr val="00FFFF">
                  <a:alpha val="90196"/>
                </a:srgbClr>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'Data Dashboard'!$A$32</c:f>
            </c:strRef>
          </c:cat>
          <c:val>
            <c:numRef>
              <c:f>'Data Dashboard'!$C$32</c:f>
              <c:numCache/>
            </c:numRef>
          </c:val>
        </c:ser>
        <c:overlap val="100"/>
        <c:axId val="1403623839"/>
        <c:axId val="1163497109"/>
      </c:barChart>
      <c:catAx>
        <c:axId val="140362383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FFFFFF"/>
                </a:solidFill>
                <a:latin typeface="+mn-lt"/>
              </a:defRPr>
            </a:pPr>
          </a:p>
        </c:txPr>
        <c:crossAx val="1163497109"/>
      </c:catAx>
      <c:valAx>
        <c:axId val="116349710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000000"/>
                </a:solidFill>
                <a:latin typeface="+mn-lt"/>
              </a:defRPr>
            </a:pPr>
          </a:p>
        </c:txPr>
        <c:crossAx val="1403623839"/>
        <c:crosses val="max"/>
      </c:valAx>
    </c:plotArea>
    <c:plotVisOnly val="1"/>
  </c:chart>
  <c:spPr>
    <a:solidFill>
      <a:srgbClr val="FFFFFF">
        <a:alpha val="0"/>
      </a:srgbClr>
    </a:solidFill>
  </c:spPr>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grouping val="stacked"/>
        <c:ser>
          <c:idx val="0"/>
          <c:order val="0"/>
          <c:spPr>
            <a:solidFill>
              <a:schemeClr val="accent1"/>
            </a:solidFill>
            <a:ln cmpd="sng">
              <a:solidFill>
                <a:srgbClr val="000000"/>
              </a:solidFill>
            </a:ln>
          </c:spPr>
          <c:dPt>
            <c:idx val="0"/>
            <c:spPr>
              <a:solidFill>
                <a:srgbClr val="B4A7D6"/>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'Data Dashboard'!$A$33</c:f>
            </c:strRef>
          </c:cat>
          <c:val>
            <c:numRef>
              <c:f>'Data Dashboard'!$B$33</c:f>
              <c:numCache/>
            </c:numRef>
          </c:val>
        </c:ser>
        <c:ser>
          <c:idx val="1"/>
          <c:order val="1"/>
          <c:spPr>
            <a:solidFill>
              <a:schemeClr val="accent2"/>
            </a:solidFill>
            <a:ln cmpd="sng">
              <a:solidFill>
                <a:srgbClr val="000000"/>
              </a:solidFill>
            </a:ln>
          </c:spPr>
          <c:dPt>
            <c:idx val="0"/>
            <c:spPr>
              <a:solidFill>
                <a:srgbClr val="00FFFF">
                  <a:alpha val="90196"/>
                </a:srgbClr>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'Data Dashboard'!$A$33</c:f>
            </c:strRef>
          </c:cat>
          <c:val>
            <c:numRef>
              <c:f>'Data Dashboard'!$C$33</c:f>
              <c:numCache/>
            </c:numRef>
          </c:val>
        </c:ser>
        <c:overlap val="100"/>
        <c:axId val="302629328"/>
        <c:axId val="1029655616"/>
      </c:barChart>
      <c:catAx>
        <c:axId val="302629328"/>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FFFFFF"/>
                </a:solidFill>
                <a:latin typeface="+mn-lt"/>
              </a:defRPr>
            </a:pPr>
          </a:p>
        </c:txPr>
        <c:crossAx val="1029655616"/>
      </c:catAx>
      <c:valAx>
        <c:axId val="102965561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000000"/>
                </a:solidFill>
                <a:latin typeface="+mn-lt"/>
              </a:defRPr>
            </a:pPr>
          </a:p>
        </c:txPr>
        <c:crossAx val="302629328"/>
        <c:crosses val="max"/>
      </c:valAx>
    </c:plotArea>
    <c:plotVisOnly val="1"/>
  </c:chart>
  <c:spPr>
    <a:solidFill>
      <a:srgbClr val="FFFFFF">
        <a:alpha val="0"/>
      </a:srgbClr>
    </a:solidFill>
  </c:spPr>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3532293791952817"/>
          <c:y val="0.11078058067586857"/>
          <c:w val="0.9877333286916873"/>
          <c:h val="0.7619466920514043"/>
        </c:manualLayout>
      </c:layout>
      <c:barChart>
        <c:barDir val="col"/>
        <c:ser>
          <c:idx val="0"/>
          <c:order val="0"/>
          <c:spPr>
            <a:solidFill>
              <a:srgbClr val="FFF2CC"/>
            </a:solidFill>
            <a:ln cmpd="sng">
              <a:solidFill>
                <a:srgbClr val="000000"/>
              </a:solidFill>
            </a:ln>
          </c:spPr>
          <c:dPt>
            <c:idx val="0"/>
          </c:dPt>
          <c:dPt>
            <c:idx val="2"/>
          </c:dPt>
          <c:dPt>
            <c:idx val="3"/>
          </c:dPt>
          <c:dPt>
            <c:idx val="5"/>
          </c:dPt>
          <c:dPt>
            <c:idx val="6"/>
          </c:dPt>
          <c:dLbls>
            <c:numFmt formatCode="General" sourceLinked="1"/>
            <c:txPr>
              <a:bodyPr/>
              <a:lstStyle/>
              <a:p>
                <a:pPr lvl="0">
                  <a:defRPr b="0" sz="1000"/>
                </a:pPr>
              </a:p>
            </c:txPr>
            <c:showLegendKey val="0"/>
            <c:showVal val="1"/>
            <c:showCatName val="0"/>
            <c:showSerName val="0"/>
            <c:showPercent val="0"/>
            <c:showBubbleSize val="0"/>
          </c:dLbls>
          <c:cat>
            <c:strRef>
              <c:f>'Data Dashboard'!$A$56:$A$62</c:f>
            </c:strRef>
          </c:cat>
          <c:val>
            <c:numRef>
              <c:f>'Data Dashboard'!$B$56:$B$62</c:f>
              <c:numCache/>
            </c:numRef>
          </c:val>
        </c:ser>
        <c:axId val="517257491"/>
        <c:axId val="565654399"/>
      </c:barChart>
      <c:catAx>
        <c:axId val="5172574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in"/>
        <c:minorTickMark val="none"/>
        <c:spPr/>
        <c:txPr>
          <a:bodyPr/>
          <a:lstStyle/>
          <a:p>
            <a:pPr lvl="0">
              <a:defRPr b="1">
                <a:solidFill>
                  <a:srgbClr val="C0C0C0"/>
                </a:solidFill>
                <a:latin typeface="+mn-lt"/>
              </a:defRPr>
            </a:pPr>
          </a:p>
        </c:txPr>
        <c:crossAx val="565654399"/>
      </c:catAx>
      <c:valAx>
        <c:axId val="565654399"/>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chemeClr val="lt1"/>
                </a:solidFill>
                <a:latin typeface="+mn-lt"/>
              </a:defRPr>
            </a:pPr>
          </a:p>
        </c:txPr>
        <c:crossAx val="517257491"/>
      </c:valAx>
    </c:plotArea>
    <c:plotVisOnly val="1"/>
  </c:chart>
  <c:spPr>
    <a:solidFill>
      <a:srgbClr val="FFFFFF">
        <a:alpha val="0"/>
      </a:srgbClr>
    </a:solidFill>
  </c:spPr>
</c:chartSpace>
</file>

<file path=xl/drawings/_rels/drawing13.xml.rels><?xml version="1.0" encoding="UTF-8" standalone="yes"?><Relationships xmlns="http://schemas.openxmlformats.org/package/2006/relationships"><Relationship Id="rId11" Type="http://schemas.openxmlformats.org/officeDocument/2006/relationships/chart" Target="../charts/chart11.xml"/><Relationship Id="rId10" Type="http://schemas.openxmlformats.org/officeDocument/2006/relationships/chart" Target="../charts/chart10.xml"/><Relationship Id="rId13" Type="http://schemas.openxmlformats.org/officeDocument/2006/relationships/chart" Target="../charts/chart13.xml"/><Relationship Id="rId12" Type="http://schemas.openxmlformats.org/officeDocument/2006/relationships/chart" Target="../charts/chart12.xml"/><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9" Type="http://schemas.openxmlformats.org/officeDocument/2006/relationships/chart" Target="../charts/chart9.xml"/><Relationship Id="rId15" Type="http://schemas.openxmlformats.org/officeDocument/2006/relationships/chart" Target="../charts/chart15.xml"/><Relationship Id="rId14" Type="http://schemas.openxmlformats.org/officeDocument/2006/relationships/chart" Target="../charts/chart1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152400</xdr:colOff>
      <xdr:row>4</xdr:row>
      <xdr:rowOff>180975</xdr:rowOff>
    </xdr:from>
    <xdr:ext cx="5334000" cy="22669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13</xdr:col>
      <xdr:colOff>323850</xdr:colOff>
      <xdr:row>4</xdr:row>
      <xdr:rowOff>180975</xdr:rowOff>
    </xdr:from>
    <xdr:ext cx="1571625" cy="20955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16</xdr:col>
      <xdr:colOff>9525</xdr:colOff>
      <xdr:row>5</xdr:row>
      <xdr:rowOff>133350</xdr:rowOff>
    </xdr:from>
    <xdr:ext cx="2038350" cy="18192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19</xdr:col>
      <xdr:colOff>371475</xdr:colOff>
      <xdr:row>6</xdr:row>
      <xdr:rowOff>66675</xdr:rowOff>
    </xdr:from>
    <xdr:ext cx="1666875" cy="187642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10</xdr:col>
      <xdr:colOff>466725</xdr:colOff>
      <xdr:row>19</xdr:row>
      <xdr:rowOff>19050</xdr:rowOff>
    </xdr:from>
    <xdr:ext cx="1885950" cy="174307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333375</xdr:colOff>
      <xdr:row>18</xdr:row>
      <xdr:rowOff>104775</xdr:rowOff>
    </xdr:from>
    <xdr:ext cx="2333625" cy="1962150"/>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19</xdr:col>
      <xdr:colOff>9525</xdr:colOff>
      <xdr:row>19</xdr:row>
      <xdr:rowOff>19050</xdr:rowOff>
    </xdr:from>
    <xdr:ext cx="2105025" cy="1743075"/>
    <xdr:graphicFrame>
      <xdr:nvGraphicFramePr>
        <xdr:cNvPr id="7"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11</xdr:col>
      <xdr:colOff>190500</xdr:colOff>
      <xdr:row>30</xdr:row>
      <xdr:rowOff>152400</xdr:rowOff>
    </xdr:from>
    <xdr:ext cx="3952875" cy="2266950"/>
    <xdr:graphicFrame>
      <xdr:nvGraphicFramePr>
        <xdr:cNvPr id="8" name="Chart 8"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13</xdr:col>
      <xdr:colOff>381000</xdr:colOff>
      <xdr:row>34</xdr:row>
      <xdr:rowOff>47625</xdr:rowOff>
    </xdr:from>
    <xdr:ext cx="1914525" cy="1152525"/>
    <xdr:graphicFrame>
      <xdr:nvGraphicFramePr>
        <xdr:cNvPr id="9" name="Chart 9"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16</xdr:col>
      <xdr:colOff>304800</xdr:colOff>
      <xdr:row>8</xdr:row>
      <xdr:rowOff>47625</xdr:rowOff>
    </xdr:from>
    <xdr:ext cx="1457325" cy="809625"/>
    <xdr:graphicFrame>
      <xdr:nvGraphicFramePr>
        <xdr:cNvPr id="10" name="Chart 10"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4</xdr:col>
      <xdr:colOff>123825</xdr:colOff>
      <xdr:row>19</xdr:row>
      <xdr:rowOff>19050</xdr:rowOff>
    </xdr:from>
    <xdr:ext cx="2914650" cy="590550"/>
    <xdr:graphicFrame>
      <xdr:nvGraphicFramePr>
        <xdr:cNvPr id="11" name="Chart 11" title="Chart"/>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4</xdr:col>
      <xdr:colOff>123825</xdr:colOff>
      <xdr:row>21</xdr:row>
      <xdr:rowOff>85725</xdr:rowOff>
    </xdr:from>
    <xdr:ext cx="2914650" cy="476250"/>
    <xdr:graphicFrame>
      <xdr:nvGraphicFramePr>
        <xdr:cNvPr id="12" name="Chart 12" title="Chart"/>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4</xdr:col>
      <xdr:colOff>123825</xdr:colOff>
      <xdr:row>23</xdr:row>
      <xdr:rowOff>104775</xdr:rowOff>
    </xdr:from>
    <xdr:ext cx="2152650" cy="476250"/>
    <xdr:graphicFrame>
      <xdr:nvGraphicFramePr>
        <xdr:cNvPr id="13" name="Chart 13" title="Chart"/>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4</xdr:col>
      <xdr:colOff>114300</xdr:colOff>
      <xdr:row>25</xdr:row>
      <xdr:rowOff>152400</xdr:rowOff>
    </xdr:from>
    <xdr:ext cx="3400425" cy="476250"/>
    <xdr:graphicFrame>
      <xdr:nvGraphicFramePr>
        <xdr:cNvPr id="14" name="Chart 14" title="Chart"/>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0</xdr:col>
      <xdr:colOff>0</xdr:colOff>
      <xdr:row>30</xdr:row>
      <xdr:rowOff>104775</xdr:rowOff>
    </xdr:from>
    <xdr:ext cx="6686550" cy="1962150"/>
    <xdr:graphicFrame>
      <xdr:nvGraphicFramePr>
        <xdr:cNvPr id="15" name="Chart 15" title="Chart"/>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0</xdr:col>
      <xdr:colOff>0</xdr:colOff>
      <xdr:row>29</xdr:row>
      <xdr:rowOff>19050</xdr:rowOff>
    </xdr:from>
    <xdr:ext cx="9144000" cy="2276475"/>
    <xdr:grpSp>
      <xdr:nvGrpSpPr>
        <xdr:cNvPr id="2" name="Shape 2" title="Drawing"/>
        <xdr:cNvGrpSpPr/>
      </xdr:nvGrpSpPr>
      <xdr:grpSpPr>
        <a:xfrm>
          <a:off x="24" y="32400"/>
          <a:ext cx="9143952" cy="2259300"/>
          <a:chOff x="24" y="32400"/>
          <a:chExt cx="9143952" cy="2259300"/>
        </a:xfrm>
      </xdr:grpSpPr>
      <xdr:sp>
        <xdr:nvSpPr>
          <xdr:cNvPr id="3" name="Shape 3"/>
          <xdr:cNvSpPr/>
        </xdr:nvSpPr>
        <xdr:spPr>
          <a:xfrm>
            <a:off x="24" y="32400"/>
            <a:ext cx="6126300" cy="2259300"/>
          </a:xfrm>
          <a:prstGeom prst="rect">
            <a:avLst/>
          </a:prstGeom>
          <a:solidFill>
            <a:srgbClr val="191D43"/>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ctr">
              <a:spcBef>
                <a:spcPts val="0"/>
              </a:spcBef>
              <a:spcAft>
                <a:spcPts val="0"/>
              </a:spcAft>
              <a:buNone/>
            </a:pPr>
            <a:r>
              <a:rPr b="1" lang="en-US" sz="1300">
                <a:solidFill>
                  <a:srgbClr val="FFFFFF"/>
                </a:solidFill>
                <a:latin typeface="Courier New"/>
                <a:ea typeface="Courier New"/>
                <a:cs typeface="Courier New"/>
                <a:sym typeface="Courier New"/>
              </a:rPr>
              <a:t>PEROLEHAN SUMBER DANA EKSTERNAL</a:t>
            </a:r>
            <a:endParaRPr b="1" sz="1300">
              <a:solidFill>
                <a:srgbClr val="FFFFFF"/>
              </a:solidFill>
              <a:latin typeface="Courier New"/>
              <a:ea typeface="Courier New"/>
              <a:cs typeface="Courier New"/>
              <a:sym typeface="Courier New"/>
            </a:endParaRPr>
          </a:p>
          <a:p>
            <a:pPr indent="0" lvl="0" marL="0" rtl="0" algn="ctr">
              <a:spcBef>
                <a:spcPts val="0"/>
              </a:spcBef>
              <a:spcAft>
                <a:spcPts val="0"/>
              </a:spcAft>
              <a:buNone/>
            </a:pPr>
            <a:r>
              <a:t/>
            </a:r>
            <a:endParaRPr b="1" sz="1300">
              <a:solidFill>
                <a:srgbClr val="FFFFFF"/>
              </a:solidFill>
              <a:latin typeface="Courier New"/>
              <a:ea typeface="Courier New"/>
              <a:cs typeface="Courier New"/>
              <a:sym typeface="Courier New"/>
            </a:endParaRPr>
          </a:p>
        </xdr:txBody>
      </xdr:sp>
      <xdr:sp>
        <xdr:nvSpPr>
          <xdr:cNvPr id="4" name="Shape 4"/>
          <xdr:cNvSpPr/>
        </xdr:nvSpPr>
        <xdr:spPr>
          <a:xfrm>
            <a:off x="6196176" y="32400"/>
            <a:ext cx="2947800" cy="2259300"/>
          </a:xfrm>
          <a:prstGeom prst="rect">
            <a:avLst/>
          </a:prstGeom>
          <a:solidFill>
            <a:srgbClr val="191D43"/>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ctr">
              <a:spcBef>
                <a:spcPts val="0"/>
              </a:spcBef>
              <a:spcAft>
                <a:spcPts val="0"/>
              </a:spcAft>
              <a:buNone/>
            </a:pPr>
            <a:r>
              <a:rPr b="1" lang="en-US" sz="1300">
                <a:solidFill>
                  <a:srgbClr val="FFFFFF"/>
                </a:solidFill>
                <a:latin typeface="Courier New"/>
                <a:ea typeface="Courier New"/>
                <a:cs typeface="Courier New"/>
                <a:sym typeface="Courier New"/>
              </a:rPr>
              <a:t>JENIS DAN OUTPUT </a:t>
            </a:r>
            <a:endParaRPr b="1" sz="1300">
              <a:solidFill>
                <a:srgbClr val="FFFFFF"/>
              </a:solidFill>
              <a:latin typeface="Courier New"/>
              <a:ea typeface="Courier New"/>
              <a:cs typeface="Courier New"/>
              <a:sym typeface="Courier New"/>
            </a:endParaRPr>
          </a:p>
          <a:p>
            <a:pPr indent="0" lvl="0" marL="0" rtl="0" algn="ctr">
              <a:spcBef>
                <a:spcPts val="0"/>
              </a:spcBef>
              <a:spcAft>
                <a:spcPts val="0"/>
              </a:spcAft>
              <a:buNone/>
            </a:pPr>
            <a:r>
              <a:rPr b="1" lang="en-US" sz="1300">
                <a:solidFill>
                  <a:srgbClr val="FFFFFF"/>
                </a:solidFill>
                <a:latin typeface="Courier New"/>
                <a:ea typeface="Courier New"/>
                <a:cs typeface="Courier New"/>
                <a:sym typeface="Courier New"/>
              </a:rPr>
              <a:t>SUMBER DANA EKSTERNAL</a:t>
            </a:r>
            <a:endParaRPr b="1" sz="1300">
              <a:solidFill>
                <a:srgbClr val="FFFFFF"/>
              </a:solidFill>
              <a:latin typeface="Courier New"/>
              <a:ea typeface="Courier New"/>
              <a:cs typeface="Courier New"/>
              <a:sym typeface="Courier New"/>
            </a:endParaRPr>
          </a:p>
        </xdr:txBody>
      </xdr:sp>
    </xdr:grpSp>
    <xdr:clientData fLocksWithSheet="0"/>
  </xdr:oneCellAnchor>
  <xdr:oneCellAnchor>
    <xdr:from>
      <xdr:col>17</xdr:col>
      <xdr:colOff>180975</xdr:colOff>
      <xdr:row>29</xdr:row>
      <xdr:rowOff>28575</xdr:rowOff>
    </xdr:from>
    <xdr:ext cx="3200400" cy="2266950"/>
    <xdr:sp>
      <xdr:nvSpPr>
        <xdr:cNvPr id="5" name="Shape 5"/>
        <xdr:cNvSpPr/>
      </xdr:nvSpPr>
      <xdr:spPr>
        <a:xfrm>
          <a:off x="0" y="0"/>
          <a:ext cx="3194100" cy="2259300"/>
        </a:xfrm>
        <a:prstGeom prst="rect">
          <a:avLst/>
        </a:prstGeom>
        <a:solidFill>
          <a:srgbClr val="191D43"/>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ctr">
            <a:spcBef>
              <a:spcPts val="0"/>
            </a:spcBef>
            <a:spcAft>
              <a:spcPts val="0"/>
            </a:spcAft>
            <a:buNone/>
          </a:pPr>
          <a:r>
            <a:rPr b="1" lang="en-US" sz="1300">
              <a:solidFill>
                <a:srgbClr val="FFFFFF"/>
              </a:solidFill>
              <a:latin typeface="Courier New"/>
              <a:ea typeface="Courier New"/>
              <a:cs typeface="Courier New"/>
              <a:sym typeface="Courier New"/>
            </a:rPr>
            <a:t>KERJASAMA</a:t>
          </a:r>
          <a:endParaRPr b="1" sz="1300">
            <a:solidFill>
              <a:srgbClr val="FFFFFF"/>
            </a:solidFill>
            <a:latin typeface="Courier New"/>
            <a:ea typeface="Courier New"/>
            <a:cs typeface="Courier New"/>
            <a:sym typeface="Courier New"/>
          </a:endParaRPr>
        </a:p>
      </xdr:txBody>
    </xdr:sp>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ourier New"/>
        <a:ea typeface="Courier New"/>
        <a:cs typeface="Courier New"/>
      </a:majorFont>
      <a:minorFont>
        <a:latin typeface="Courier New"/>
        <a:ea typeface="Courier New"/>
        <a:cs typeface="Courier Ne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oi.org/10.1109/IC3INA60834.2023.10285745" TargetMode="External"/><Relationship Id="rId194" Type="http://schemas.openxmlformats.org/officeDocument/2006/relationships/hyperlink" Target="https://doi.org/10.1063/5.0181525" TargetMode="External"/><Relationship Id="rId193" Type="http://schemas.openxmlformats.org/officeDocument/2006/relationships/hyperlink" Target="https://drive.google.com/drive/folders/1iUFWqezMUMTNr_K4e4ixW7OQ-peqqc9E?usp=sharing" TargetMode="External"/><Relationship Id="rId192" Type="http://schemas.openxmlformats.org/officeDocument/2006/relationships/hyperlink" Target="https://doi.org/10.1109/ICRAMET60171.2023.10366591" TargetMode="External"/><Relationship Id="rId191" Type="http://schemas.openxmlformats.org/officeDocument/2006/relationships/hyperlink" Target="https://drive.google.com/drive/folders/1iUFWqezMUMTNr_K4e4ixW7OQ-peqqc9E?usp=sharing" TargetMode="External"/><Relationship Id="rId187" Type="http://schemas.openxmlformats.org/officeDocument/2006/relationships/hyperlink" Target="https://drive.google.com/drive/folders/1iUFWqezMUMTNr_K4e4ixW7OQ-peqqc9E?usp=sharing" TargetMode="External"/><Relationship Id="rId186" Type="http://schemas.openxmlformats.org/officeDocument/2006/relationships/hyperlink" Target="https://iopscience.iop.org/article/10.1088/1755-1315/1192/1/012043" TargetMode="External"/><Relationship Id="rId185" Type="http://schemas.openxmlformats.org/officeDocument/2006/relationships/hyperlink" Target="https://doi.org/10.1016/j.kjs.2024.100293" TargetMode="External"/><Relationship Id="rId184" Type="http://schemas.openxmlformats.org/officeDocument/2006/relationships/hyperlink" Target="https://drive.google.com/file/d/1sC9yjkjTc9fo5ZuaNVDSQHNkmtNaSEIt/view?usp=drive_link" TargetMode="External"/><Relationship Id="rId189" Type="http://schemas.openxmlformats.org/officeDocument/2006/relationships/hyperlink" Target="https://drive.google.com/drive/folders/1iUFWqezMUMTNr_K4e4ixW7OQ-peqqc9E?usp=sharing" TargetMode="External"/><Relationship Id="rId188" Type="http://schemas.openxmlformats.org/officeDocument/2006/relationships/hyperlink" Target="https://doi.org/10.1016/j.saa.2023.123643" TargetMode="External"/><Relationship Id="rId183" Type="http://schemas.openxmlformats.org/officeDocument/2006/relationships/hyperlink" Target="https://drive.google.com/drive/folders/1iUFWqezMUMTNr_K4e4ixW7OQ-peqqc9E?usp=sharing" TargetMode="External"/><Relationship Id="rId182" Type="http://schemas.openxmlformats.org/officeDocument/2006/relationships/hyperlink" Target="https://doi.org/10.1109/ICRAMET60171.2023.10366767" TargetMode="External"/><Relationship Id="rId181" Type="http://schemas.openxmlformats.org/officeDocument/2006/relationships/hyperlink" Target="https://drive.google.com/drive/folders/1iUFWqezMUMTNr_K4e4ixW7OQ-peqqc9E?usp=sharing" TargetMode="External"/><Relationship Id="rId180" Type="http://schemas.openxmlformats.org/officeDocument/2006/relationships/hyperlink" Target="https://doi.org/10.1109/ICRAMET60171.2023.10366613" TargetMode="External"/><Relationship Id="rId176" Type="http://schemas.openxmlformats.org/officeDocument/2006/relationships/hyperlink" Target="https://doi.org/10.1109/ICRAMET60171.2023.10366571" TargetMode="External"/><Relationship Id="rId175" Type="http://schemas.openxmlformats.org/officeDocument/2006/relationships/hyperlink" Target="https://drive.google.com/file/d/1bwvH643W5eMFxXrrDQ-JYULi6B3Y9B09/view?usp=sharing" TargetMode="External"/><Relationship Id="rId174" Type="http://schemas.openxmlformats.org/officeDocument/2006/relationships/hyperlink" Target="https://drive.google.com/drive/folders/1iUFWqezMUMTNr_K4e4ixW7OQ-peqqc9E?usp=sharing" TargetMode="External"/><Relationship Id="rId173" Type="http://schemas.openxmlformats.org/officeDocument/2006/relationships/hyperlink" Target="https://doi.org/10.1109/ICRAMET60171.2023.10366758" TargetMode="External"/><Relationship Id="rId179" Type="http://schemas.openxmlformats.org/officeDocument/2006/relationships/hyperlink" Target="https://doi.org/10.1080/07038992.2024.2368036" TargetMode="External"/><Relationship Id="rId178" Type="http://schemas.openxmlformats.org/officeDocument/2006/relationships/hyperlink" Target="https://www.scopus.com/record/display.uri?eid=2-s2.0-85198719274&amp;origin=resultslist" TargetMode="External"/><Relationship Id="rId177" Type="http://schemas.openxmlformats.org/officeDocument/2006/relationships/hyperlink" Target="https://drive.google.com/drive/folders/1iUFWqezMUMTNr_K4e4ixW7OQ-peqqc9E?usp=sharing" TargetMode="External"/><Relationship Id="rId198" Type="http://schemas.openxmlformats.org/officeDocument/2006/relationships/hyperlink" Target="https://doi.org/10.1371/journal.pone.0292156" TargetMode="External"/><Relationship Id="rId197" Type="http://schemas.openxmlformats.org/officeDocument/2006/relationships/hyperlink" Target="https://drive.google.com/drive/folders/1iUFWqezMUMTNr_K4e4ixW7OQ-peqqc9E?usp=sharing" TargetMode="External"/><Relationship Id="rId196" Type="http://schemas.openxmlformats.org/officeDocument/2006/relationships/hyperlink" Target="https://doi.org/10.1109/ICRAMET60171.2023.10366734" TargetMode="External"/><Relationship Id="rId195" Type="http://schemas.openxmlformats.org/officeDocument/2006/relationships/hyperlink" Target="https://drive.google.com/drive/folders/1iUFWqezMUMTNr_K4e4ixW7OQ-peqqc9E?usp=sharing" TargetMode="External"/><Relationship Id="rId199" Type="http://schemas.openxmlformats.org/officeDocument/2006/relationships/hyperlink" Target="https://drive.google.com/drive/folders/1iUFWqezMUMTNr_K4e4ixW7OQ-peqqc9E?usp=sharing" TargetMode="External"/><Relationship Id="rId150" Type="http://schemas.openxmlformats.org/officeDocument/2006/relationships/hyperlink" Target="https://doi.org/10.18517/ijaseit.13.5.18750" TargetMode="External"/><Relationship Id="rId392" Type="http://schemas.openxmlformats.org/officeDocument/2006/relationships/hyperlink" Target="https://drive.google.com/drive/folders/1iUFWqezMUMTNr_K4e4ixW7OQ-peqqc9E?usp=sharing" TargetMode="External"/><Relationship Id="rId391" Type="http://schemas.openxmlformats.org/officeDocument/2006/relationships/hyperlink" Target="https://drive.google.com/drive/folders/1iUFWqezMUMTNr_K4e4ixW7OQ-peqqc9E?usp=sharing" TargetMode="External"/><Relationship Id="rId390" Type="http://schemas.openxmlformats.org/officeDocument/2006/relationships/hyperlink" Target="https://doi.org/10.1145/3575882.3575931" TargetMode="External"/><Relationship Id="rId1" Type="http://schemas.openxmlformats.org/officeDocument/2006/relationships/hyperlink" Target="https://drive.google.com/drive/folders/1iUFWqezMUMTNr_K4e4ixW7OQ-peqqc9E?usp=sharing" TargetMode="External"/><Relationship Id="rId2" Type="http://schemas.openxmlformats.org/officeDocument/2006/relationships/hyperlink" Target="https://doi.org/10.11591/ijece.v14i1.pp819-829" TargetMode="External"/><Relationship Id="rId3" Type="http://schemas.openxmlformats.org/officeDocument/2006/relationships/hyperlink" Target="https://doi.org/10.1016/j.jallcom.2023.169634" TargetMode="External"/><Relationship Id="rId149" Type="http://schemas.openxmlformats.org/officeDocument/2006/relationships/hyperlink" Target="https://drive.google.com/drive/folders/1iUFWqezMUMTNr_K4e4ixW7OQ-peqqc9E?usp=sharing" TargetMode="External"/><Relationship Id="rId4" Type="http://schemas.openxmlformats.org/officeDocument/2006/relationships/hyperlink" Target="https://drive.google.com/drive/folders/1iUFWqezMUMTNr_K4e4ixW7OQ-peqqc9E?usp=sharing" TargetMode="External"/><Relationship Id="rId148" Type="http://schemas.openxmlformats.org/officeDocument/2006/relationships/hyperlink" Target="https://doi.org/10.5109/7151722" TargetMode="External"/><Relationship Id="rId9" Type="http://schemas.openxmlformats.org/officeDocument/2006/relationships/hyperlink" Target="https://doi.org/10.1590/fst.112422" TargetMode="External"/><Relationship Id="rId143" Type="http://schemas.openxmlformats.org/officeDocument/2006/relationships/hyperlink" Target="https://doi.org/10.1109/ICRAMET60171.2023.10366755" TargetMode="External"/><Relationship Id="rId385" Type="http://schemas.openxmlformats.org/officeDocument/2006/relationships/hyperlink" Target="https://doi.org/10.1145/3575882.3575933" TargetMode="External"/><Relationship Id="rId142" Type="http://schemas.openxmlformats.org/officeDocument/2006/relationships/hyperlink" Target="https://doi.org/10.28991/HEF-2024-05-02-02" TargetMode="External"/><Relationship Id="rId384" Type="http://schemas.openxmlformats.org/officeDocument/2006/relationships/hyperlink" Target="https://drive.google.com/drive/folders/1iUFWqezMUMTNr_K4e4ixW7OQ-peqqc9E?usp=sharing" TargetMode="External"/><Relationship Id="rId141" Type="http://schemas.openxmlformats.org/officeDocument/2006/relationships/hyperlink" Target="https://hefjournal.org/index.php/HEF/article/view/352" TargetMode="External"/><Relationship Id="rId383" Type="http://schemas.openxmlformats.org/officeDocument/2006/relationships/hyperlink" Target="https://drive.google.com/drive/folders/1iUFWqezMUMTNr_K4e4ixW7OQ-peqqc9E?usp=sharing" TargetMode="External"/><Relationship Id="rId140" Type="http://schemas.openxmlformats.org/officeDocument/2006/relationships/hyperlink" Target="https://drive.google.com/drive/folders/1iUFWqezMUMTNr_K4e4ixW7OQ-peqqc9E?usp=sharing" TargetMode="External"/><Relationship Id="rId382" Type="http://schemas.openxmlformats.org/officeDocument/2006/relationships/hyperlink" Target="https://drive.google.com/drive/folders/1iUFWqezMUMTNr_K4e4ixW7OQ-peqqc9E?usp=sharing" TargetMode="External"/><Relationship Id="rId5" Type="http://schemas.openxmlformats.org/officeDocument/2006/relationships/hyperlink" Target="https://doi.org/10.1080/2150704X.2023.2299268" TargetMode="External"/><Relationship Id="rId147" Type="http://schemas.openxmlformats.org/officeDocument/2006/relationships/hyperlink" Target="https://drive.google.com/drive/folders/1iUFWqezMUMTNr_K4e4ixW7OQ-peqqc9E?usp=sharing" TargetMode="External"/><Relationship Id="rId389" Type="http://schemas.openxmlformats.org/officeDocument/2006/relationships/hyperlink" Target="https://drive.google.com/drive/folders/1iUFWqezMUMTNr_K4e4ixW7OQ-peqqc9E?usp=sharing" TargetMode="External"/><Relationship Id="rId6" Type="http://schemas.openxmlformats.org/officeDocument/2006/relationships/hyperlink" Target="https://doi.org/10.1590/fst.112422" TargetMode="External"/><Relationship Id="rId146" Type="http://schemas.openxmlformats.org/officeDocument/2006/relationships/hyperlink" Target="https://doi.org/10.5109/7151713" TargetMode="External"/><Relationship Id="rId388" Type="http://schemas.openxmlformats.org/officeDocument/2006/relationships/hyperlink" Target="https://doi.org/10.1145/3575882.3575928" TargetMode="External"/><Relationship Id="rId7" Type="http://schemas.openxmlformats.org/officeDocument/2006/relationships/hyperlink" Target="https://drive.google.com/drive/folders/1iUFWqezMUMTNr_K4e4ixW7OQ-peqqc9E?usp=sharing" TargetMode="External"/><Relationship Id="rId145" Type="http://schemas.openxmlformats.org/officeDocument/2006/relationships/hyperlink" Target="https://www.inderscience.com/info/ingeneral/forthcoming.php?jcode=ijtlid" TargetMode="External"/><Relationship Id="rId387" Type="http://schemas.openxmlformats.org/officeDocument/2006/relationships/hyperlink" Target="https://drive.google.com/drive/folders/1iUFWqezMUMTNr_K4e4ixW7OQ-peqqc9E?usp=sharing" TargetMode="External"/><Relationship Id="rId8" Type="http://schemas.openxmlformats.org/officeDocument/2006/relationships/hyperlink" Target="https://doi.org/10.1108/VJIKMS-08-2021-0144" TargetMode="External"/><Relationship Id="rId144" Type="http://schemas.openxmlformats.org/officeDocument/2006/relationships/hyperlink" Target="https://drive.google.com/drive/folders/1iUFWqezMUMTNr_K4e4ixW7OQ-peqqc9E?usp=sharing" TargetMode="External"/><Relationship Id="rId386" Type="http://schemas.openxmlformats.org/officeDocument/2006/relationships/hyperlink" Target="https://drive.google.com/drive/folders/1iUFWqezMUMTNr_K4e4ixW7OQ-peqqc9E?usp=sharing" TargetMode="External"/><Relationship Id="rId381" Type="http://schemas.openxmlformats.org/officeDocument/2006/relationships/hyperlink" Target="https://doi.org/10.1080/17477891.2023.2190871" TargetMode="External"/><Relationship Id="rId380" Type="http://schemas.openxmlformats.org/officeDocument/2006/relationships/hyperlink" Target="https://drive.google.com/drive/folders/1iUFWqezMUMTNr_K4e4ixW7OQ-peqqc9E?usp=sharing" TargetMode="External"/><Relationship Id="rId139" Type="http://schemas.openxmlformats.org/officeDocument/2006/relationships/hyperlink" Target="http://dx.doi.org/10.1109/ICRAMET60171.2023.10366603" TargetMode="External"/><Relationship Id="rId138" Type="http://schemas.openxmlformats.org/officeDocument/2006/relationships/hyperlink" Target="https://doi.org/10.1109/AIMS61812.2024.10513177" TargetMode="External"/><Relationship Id="rId137" Type="http://schemas.openxmlformats.org/officeDocument/2006/relationships/hyperlink" Target="https://ieeexplore.ieee.org/abstract/document/10513177" TargetMode="External"/><Relationship Id="rId379" Type="http://schemas.openxmlformats.org/officeDocument/2006/relationships/hyperlink" Target="https://doi.org/10.1145/3575882.3575930" TargetMode="External"/><Relationship Id="rId132" Type="http://schemas.openxmlformats.org/officeDocument/2006/relationships/hyperlink" Target="https://drive.google.com/drive/folders/1iUFWqezMUMTNr_K4e4ixW7OQ-peqqc9E?usp=sharing" TargetMode="External"/><Relationship Id="rId374" Type="http://schemas.openxmlformats.org/officeDocument/2006/relationships/hyperlink" Target="https://doi.org/10.1145/3626641.3626677" TargetMode="External"/><Relationship Id="rId131" Type="http://schemas.openxmlformats.org/officeDocument/2006/relationships/hyperlink" Target="https://doi.org/10.1109/ICRAMET60171.2023.10366581" TargetMode="External"/><Relationship Id="rId373" Type="http://schemas.openxmlformats.org/officeDocument/2006/relationships/hyperlink" Target="https://drive.google.com/drive/folders/1iUFWqezMUMTNr_K4e4ixW7OQ-peqqc9E?usp=sharing" TargetMode="External"/><Relationship Id="rId130" Type="http://schemas.openxmlformats.org/officeDocument/2006/relationships/hyperlink" Target="https://doi.org/10.1177/02663821241264702" TargetMode="External"/><Relationship Id="rId372" Type="http://schemas.openxmlformats.org/officeDocument/2006/relationships/hyperlink" Target="https://doi.org/10.1109/IC3INA60834.2023.10285768" TargetMode="External"/><Relationship Id="rId371" Type="http://schemas.openxmlformats.org/officeDocument/2006/relationships/hyperlink" Target="https://drive.google.com/drive/folders/1iUFWqezMUMTNr_K4e4ixW7OQ-peqqc9E?usp=sharing" TargetMode="External"/><Relationship Id="rId136" Type="http://schemas.openxmlformats.org/officeDocument/2006/relationships/hyperlink" Target="https://drive.google.com/drive/folders/1iUFWqezMUMTNr_K4e4ixW7OQ-peqqc9E?usp=sharing" TargetMode="External"/><Relationship Id="rId378" Type="http://schemas.openxmlformats.org/officeDocument/2006/relationships/hyperlink" Target="https://drive.google.com/drive/folders/1iUFWqezMUMTNr_K4e4ixW7OQ-peqqc9E?usp=sharing" TargetMode="External"/><Relationship Id="rId135" Type="http://schemas.openxmlformats.org/officeDocument/2006/relationships/hyperlink" Target="https://doi.org/10.1109/ICRAMET60171.2023.10366601" TargetMode="External"/><Relationship Id="rId377" Type="http://schemas.openxmlformats.org/officeDocument/2006/relationships/hyperlink" Target="https://drive.google.com/drive/folders/1iUFWqezMUMTNr_K4e4ixW7OQ-peqqc9E?usp=sharing" TargetMode="External"/><Relationship Id="rId134" Type="http://schemas.openxmlformats.org/officeDocument/2006/relationships/hyperlink" Target="https://doi.org/10.18280/ts.410335" TargetMode="External"/><Relationship Id="rId376" Type="http://schemas.openxmlformats.org/officeDocument/2006/relationships/hyperlink" Target="https://ieeexplore.ieee.org/document/10144424" TargetMode="External"/><Relationship Id="rId133" Type="http://schemas.openxmlformats.org/officeDocument/2006/relationships/hyperlink" Target="https://www.iieta.org/journals/ts/paper/10.18280/ts.410335" TargetMode="External"/><Relationship Id="rId375" Type="http://schemas.openxmlformats.org/officeDocument/2006/relationships/hyperlink" Target="https://drive.google.com/drive/folders/1iUFWqezMUMTNr_K4e4ixW7OQ-peqqc9E?usp=sharing" TargetMode="External"/><Relationship Id="rId172" Type="http://schemas.openxmlformats.org/officeDocument/2006/relationships/hyperlink" Target="https://doi.org/10.25077/josi.v23.n1.p1-14.2024" TargetMode="External"/><Relationship Id="rId171" Type="http://schemas.openxmlformats.org/officeDocument/2006/relationships/hyperlink" Target="https://josi.ft.unand.ac.id/index.php/josi/article/view/718" TargetMode="External"/><Relationship Id="rId170" Type="http://schemas.openxmlformats.org/officeDocument/2006/relationships/hyperlink" Target="https://drive.google.com/drive/folders/1iUFWqezMUMTNr_K4e4ixW7OQ-peqqc9E?usp=sharing" TargetMode="External"/><Relationship Id="rId165" Type="http://schemas.openxmlformats.org/officeDocument/2006/relationships/hyperlink" Target="https://doi.org/10.33736/ils.6025.2024" TargetMode="External"/><Relationship Id="rId164" Type="http://schemas.openxmlformats.org/officeDocument/2006/relationships/hyperlink" Target="https://publisher.unimas.my/ojs/index.php/ILS/article/view/6025" TargetMode="External"/><Relationship Id="rId163" Type="http://schemas.openxmlformats.org/officeDocument/2006/relationships/hyperlink" Target="https://drive.google.com/drive/folders/1iUFWqezMUMTNr_K4e4ixW7OQ-peqqc9E?usp=sharing" TargetMode="External"/><Relationship Id="rId162" Type="http://schemas.openxmlformats.org/officeDocument/2006/relationships/hyperlink" Target="https://doi.org/10.1039/D3SE00571B" TargetMode="External"/><Relationship Id="rId169" Type="http://schemas.openxmlformats.org/officeDocument/2006/relationships/hyperlink" Target="http://s.si/" TargetMode="External"/><Relationship Id="rId168" Type="http://schemas.openxmlformats.org/officeDocument/2006/relationships/hyperlink" Target="https://doi.org/10.1109/ICRAMET60171.2023.10366696" TargetMode="External"/><Relationship Id="rId167" Type="http://schemas.openxmlformats.org/officeDocument/2006/relationships/hyperlink" Target="https://drive.google.com/drive/folders/1iUFWqezMUMTNr_K4e4ixW7OQ-peqqc9E?usp=sharing" TargetMode="External"/><Relationship Id="rId166" Type="http://schemas.openxmlformats.org/officeDocument/2006/relationships/hyperlink" Target="http://dx.doi.org/10.1109/ICRAMET60171.2023.10366700" TargetMode="External"/><Relationship Id="rId161" Type="http://schemas.openxmlformats.org/officeDocument/2006/relationships/hyperlink" Target="https://dx.doi.org/10.22441/sinergi.2024.2.003" TargetMode="External"/><Relationship Id="rId160" Type="http://schemas.openxmlformats.org/officeDocument/2006/relationships/hyperlink" Target="https://publikasi.mercubuana.ac.id/index.php/sinergi/article/view/21775" TargetMode="External"/><Relationship Id="rId159" Type="http://schemas.openxmlformats.org/officeDocument/2006/relationships/hyperlink" Target="https://drive.google.com/drive/folders/1iUFWqezMUMTNr_K4e4ixW7OQ-peqqc9E?usp=sharing" TargetMode="External"/><Relationship Id="rId154" Type="http://schemas.openxmlformats.org/officeDocument/2006/relationships/hyperlink" Target="https://drive.google.com/drive/folders/1iUFWqezMUMTNr_K4e4ixW7OQ-peqqc9E?usp=sharing" TargetMode="External"/><Relationship Id="rId396" Type="http://schemas.openxmlformats.org/officeDocument/2006/relationships/hyperlink" Target="https://drive.google.com/drive/folders/1iUFWqezMUMTNr_K4e4ixW7OQ-peqqc9E?usp=sharing" TargetMode="External"/><Relationship Id="rId153" Type="http://schemas.openxmlformats.org/officeDocument/2006/relationships/hyperlink" Target="https://doi.org/10.5614/j.eng.technol.sci.2023.55.4.1" TargetMode="External"/><Relationship Id="rId395" Type="http://schemas.openxmlformats.org/officeDocument/2006/relationships/hyperlink" Target="http://doi.org/10.11591/ijece.v13i5.pp5491-5500" TargetMode="External"/><Relationship Id="rId152" Type="http://schemas.openxmlformats.org/officeDocument/2006/relationships/hyperlink" Target="https://2024.isls.org/" TargetMode="External"/><Relationship Id="rId394" Type="http://schemas.openxmlformats.org/officeDocument/2006/relationships/hyperlink" Target="https://drive.google.com/drive/folders/1iUFWqezMUMTNr_K4e4ixW7OQ-peqqc9E?usp=sharing" TargetMode="External"/><Relationship Id="rId151" Type="http://schemas.openxmlformats.org/officeDocument/2006/relationships/hyperlink" Target="https://drive.google.com/drive/folders/1iUFWqezMUMTNr_K4e4ixW7OQ-peqqc9E?usp=sharing" TargetMode="External"/><Relationship Id="rId393" Type="http://schemas.openxmlformats.org/officeDocument/2006/relationships/hyperlink" Target="http://dx.doi.org/10.12785/ijcds/130191" TargetMode="External"/><Relationship Id="rId158" Type="http://schemas.openxmlformats.org/officeDocument/2006/relationships/hyperlink" Target="https://doi.org/10.1109/ICRAMET60171.2023.10366655" TargetMode="External"/><Relationship Id="rId157" Type="http://schemas.openxmlformats.org/officeDocument/2006/relationships/hyperlink" Target="https://drive.google.com/drive/folders/1iUFWqezMUMTNr_K4e4ixW7OQ-peqqc9E?usp=sharing" TargetMode="External"/><Relationship Id="rId399" Type="http://schemas.openxmlformats.org/officeDocument/2006/relationships/hyperlink" Target="https://doi.org/10.1145/3575882.3575888" TargetMode="External"/><Relationship Id="rId156" Type="http://schemas.openxmlformats.org/officeDocument/2006/relationships/hyperlink" Target="https://doi.org/10.1109/ICRAMET60171.2023.10366591" TargetMode="External"/><Relationship Id="rId398" Type="http://schemas.openxmlformats.org/officeDocument/2006/relationships/hyperlink" Target="https://drive.google.com/drive/folders/1iUFWqezMUMTNr_K4e4ixW7OQ-peqqc9E?usp=sharing" TargetMode="External"/><Relationship Id="rId155" Type="http://schemas.openxmlformats.org/officeDocument/2006/relationships/hyperlink" Target="https://olj.onlinelearningconsortium.org/index.php/olj" TargetMode="External"/><Relationship Id="rId397" Type="http://schemas.openxmlformats.org/officeDocument/2006/relationships/hyperlink" Target="https://doi.org/10.1016/j.lansea.2023.100245" TargetMode="External"/><Relationship Id="rId808" Type="http://schemas.openxmlformats.org/officeDocument/2006/relationships/hyperlink" Target="https://www.springeropen.com/collections/ISEA" TargetMode="External"/><Relationship Id="rId807" Type="http://schemas.openxmlformats.org/officeDocument/2006/relationships/hyperlink" Target="https://conference.brin.go.id/icfas2023/" TargetMode="External"/><Relationship Id="rId806" Type="http://schemas.openxmlformats.org/officeDocument/2006/relationships/hyperlink" Target="https://tssa-conference.org/2023/" TargetMode="External"/><Relationship Id="rId805" Type="http://schemas.openxmlformats.org/officeDocument/2006/relationships/hyperlink" Target="https://polygeneration2023.ui.ac.id/" TargetMode="External"/><Relationship Id="rId809" Type="http://schemas.openxmlformats.org/officeDocument/2006/relationships/hyperlink" Target="https://straweb.org/symposium/bali-stra-19-20-dec-2023" TargetMode="External"/><Relationship Id="rId800" Type="http://schemas.openxmlformats.org/officeDocument/2006/relationships/hyperlink" Target="https://ieeexplore.ieee.org/document/10366616" TargetMode="External"/><Relationship Id="rId804" Type="http://schemas.openxmlformats.org/officeDocument/2006/relationships/hyperlink" Target="http://isbb.site/index.html" TargetMode="External"/><Relationship Id="rId803" Type="http://schemas.openxmlformats.org/officeDocument/2006/relationships/hyperlink" Target="https://www.scopus.com/record/display.uri?eid=2-s2.0-85178474573&amp;origin=resultslist" TargetMode="External"/><Relationship Id="rId802" Type="http://schemas.openxmlformats.org/officeDocument/2006/relationships/hyperlink" Target="https://ieeexplore.ieee.org/document/10366579" TargetMode="External"/><Relationship Id="rId801" Type="http://schemas.openxmlformats.org/officeDocument/2006/relationships/hyperlink" Target="https://ieeexplore.ieee.org/document/10366579" TargetMode="External"/><Relationship Id="rId40" Type="http://schemas.openxmlformats.org/officeDocument/2006/relationships/hyperlink" Target="https://doi.org/10.18280/jesa.560116" TargetMode="External"/><Relationship Id="rId42" Type="http://schemas.openxmlformats.org/officeDocument/2006/relationships/hyperlink" Target="https://doi.org/10.1016/j.rsase.2024.101175" TargetMode="External"/><Relationship Id="rId41" Type="http://schemas.openxmlformats.org/officeDocument/2006/relationships/hyperlink" Target="https://drive.google.com/drive/folders/1iUFWqezMUMTNr_K4e4ixW7OQ-peqqc9E?usp=sharing" TargetMode="External"/><Relationship Id="rId44" Type="http://schemas.openxmlformats.org/officeDocument/2006/relationships/hyperlink" Target="https://drive.google.com/drive/folders/1iUFWqezMUMTNr_K4e4ixW7OQ-peqqc9E?usp=sharing" TargetMode="External"/><Relationship Id="rId43" Type="http://schemas.openxmlformats.org/officeDocument/2006/relationships/hyperlink" Target="https://doi.org/10.1145/3575882.3575898" TargetMode="External"/><Relationship Id="rId46" Type="http://schemas.openxmlformats.org/officeDocument/2006/relationships/hyperlink" Target="https://doi.org/10.1145/3575882.3575900" TargetMode="External"/><Relationship Id="rId45" Type="http://schemas.openxmlformats.org/officeDocument/2006/relationships/hyperlink" Target="https://doi.org/10.18280/ria.380107" TargetMode="External"/><Relationship Id="rId509" Type="http://schemas.openxmlformats.org/officeDocument/2006/relationships/hyperlink" Target="https://drive.google.com/file/d/1MjUwRvbMsrtzBWPByu0kGLIWP0dWA6fA/view?usp=sharing" TargetMode="External"/><Relationship Id="rId508" Type="http://schemas.openxmlformats.org/officeDocument/2006/relationships/hyperlink" Target="https://doi.org/10.1088/1755-1315/1109/1/012063" TargetMode="External"/><Relationship Id="rId503" Type="http://schemas.openxmlformats.org/officeDocument/2006/relationships/hyperlink" Target="https://doi.org/10.1016/j.fluid.2023.113880" TargetMode="External"/><Relationship Id="rId745" Type="http://schemas.openxmlformats.org/officeDocument/2006/relationships/hyperlink" Target="https://dl.acm.org/doi/abs/10.1145/3575882.3575894" TargetMode="External"/><Relationship Id="rId502" Type="http://schemas.openxmlformats.org/officeDocument/2006/relationships/hyperlink" Target="https://www.sciencedirect.com/science/article/pii/S0378381223001607?via%3Dihub" TargetMode="External"/><Relationship Id="rId744" Type="http://schemas.openxmlformats.org/officeDocument/2006/relationships/hyperlink" Target="https://doi.org/10.1007/978-981-19-9768-6_76" TargetMode="External"/><Relationship Id="rId501" Type="http://schemas.openxmlformats.org/officeDocument/2006/relationships/hyperlink" Target="https://doi.org/10.1002/joc.7938" TargetMode="External"/><Relationship Id="rId743" Type="http://schemas.openxmlformats.org/officeDocument/2006/relationships/hyperlink" Target="https://doi.org/10.1016/j.jpha.2023.08.005" TargetMode="External"/><Relationship Id="rId500" Type="http://schemas.openxmlformats.org/officeDocument/2006/relationships/hyperlink" Target="https://doi.org/10.1109/IC3INA60834.2023.10285736" TargetMode="External"/><Relationship Id="rId742" Type="http://schemas.openxmlformats.org/officeDocument/2006/relationships/hyperlink" Target="https://elib.its.ac.id/conf/isitia/main/" TargetMode="External"/><Relationship Id="rId507" Type="http://schemas.openxmlformats.org/officeDocument/2006/relationships/hyperlink" Target="https://doi.org/10.1016/j.jag.2022.103166" TargetMode="External"/><Relationship Id="rId749" Type="http://schemas.openxmlformats.org/officeDocument/2006/relationships/hyperlink" Target="https://doi.org/10.1063/5.0113757" TargetMode="External"/><Relationship Id="rId506" Type="http://schemas.openxmlformats.org/officeDocument/2006/relationships/hyperlink" Target="https://doi.org/10.1109/ICoICT58202.2023.10262511" TargetMode="External"/><Relationship Id="rId748" Type="http://schemas.openxmlformats.org/officeDocument/2006/relationships/hyperlink" Target="https://doi.org/10.7752/jpes.2023.04103" TargetMode="External"/><Relationship Id="rId505" Type="http://schemas.openxmlformats.org/officeDocument/2006/relationships/hyperlink" Target="https://doi.org/10.1145/3575882.3575958" TargetMode="External"/><Relationship Id="rId747" Type="http://schemas.openxmlformats.org/officeDocument/2006/relationships/hyperlink" Target="https://ieeexplore.ieee.org/document/10257502" TargetMode="External"/><Relationship Id="rId504" Type="http://schemas.openxmlformats.org/officeDocument/2006/relationships/hyperlink" Target="https://doi.org/10.1145/3575882.3575913" TargetMode="External"/><Relationship Id="rId746" Type="http://schemas.openxmlformats.org/officeDocument/2006/relationships/hyperlink" Target="https://doi.org/10.1109/ICPERE56870.2022.10037359" TargetMode="External"/><Relationship Id="rId48" Type="http://schemas.openxmlformats.org/officeDocument/2006/relationships/hyperlink" Target="https://drive.google.com/drive/folders/1iUFWqezMUMTNr_K4e4ixW7OQ-peqqc9E?usp=sharing" TargetMode="External"/><Relationship Id="rId47" Type="http://schemas.openxmlformats.org/officeDocument/2006/relationships/hyperlink" Target="http://m.sc/" TargetMode="External"/><Relationship Id="rId49" Type="http://schemas.openxmlformats.org/officeDocument/2006/relationships/hyperlink" Target="https://doi.org/10.1016/j.jpowsour.2022.232366" TargetMode="External"/><Relationship Id="rId741" Type="http://schemas.openxmlformats.org/officeDocument/2006/relationships/hyperlink" Target="http://doi.org/10.14203/j.mev.2023.v14.72-79" TargetMode="External"/><Relationship Id="rId740" Type="http://schemas.openxmlformats.org/officeDocument/2006/relationships/hyperlink" Target="http://doi.org/10.13189/saj.2023.110319" TargetMode="External"/><Relationship Id="rId31" Type="http://schemas.openxmlformats.org/officeDocument/2006/relationships/hyperlink" Target="https://doi.org/10.1088/2057-1976/acd4c6" TargetMode="External"/><Relationship Id="rId30" Type="http://schemas.openxmlformats.org/officeDocument/2006/relationships/hyperlink" Target="https://doi.org/10.1109/ACCESS.2024.3368034" TargetMode="External"/><Relationship Id="rId33" Type="http://schemas.openxmlformats.org/officeDocument/2006/relationships/hyperlink" Target="https://www.scopus.com/record/display.uri?eid=2-s2.0-85187188096&amp;origin=resultslist" TargetMode="External"/><Relationship Id="rId32" Type="http://schemas.openxmlformats.org/officeDocument/2006/relationships/hyperlink" Target="https://drive.google.com/drive/folders/1iUFWqezMUMTNr_K4e4ixW7OQ-peqqc9E?usp=sharing" TargetMode="External"/><Relationship Id="rId35" Type="http://schemas.openxmlformats.org/officeDocument/2006/relationships/hyperlink" Target="https://drive.google.com/drive/folders/1iUFWqezMUMTNr_K4e4ixW7OQ-peqqc9E?usp=sharing" TargetMode="External"/><Relationship Id="rId34" Type="http://schemas.openxmlformats.org/officeDocument/2006/relationships/hyperlink" Target="https://doi.org/10.1088/1361-6501/acc752" TargetMode="External"/><Relationship Id="rId739" Type="http://schemas.openxmlformats.org/officeDocument/2006/relationships/hyperlink" Target="https://doi.org/10.4028/v-6n9tp0" TargetMode="External"/><Relationship Id="rId734" Type="http://schemas.openxmlformats.org/officeDocument/2006/relationships/hyperlink" Target="http://doi.org/10.37763/wr.1336-4561/68.1.167182" TargetMode="External"/><Relationship Id="rId733" Type="http://schemas.openxmlformats.org/officeDocument/2006/relationships/hyperlink" Target="https://doi.org/10.1109/ICADEIS56544.2022.10037399" TargetMode="External"/><Relationship Id="rId732" Type="http://schemas.openxmlformats.org/officeDocument/2006/relationships/hyperlink" Target="https://www.scopus.com/record/display.uri?eid=2-s2.0-85150483813&amp;origin=resultslist&amp;sort=plf-f" TargetMode="External"/><Relationship Id="rId731" Type="http://schemas.openxmlformats.org/officeDocument/2006/relationships/hyperlink" Target="https://www.scopus.com/record/display.uri?eid=2-s2.0-85149672902&amp;origin=resultslist&amp;sort=plf-f" TargetMode="External"/><Relationship Id="rId738" Type="http://schemas.openxmlformats.org/officeDocument/2006/relationships/hyperlink" Target="https://doi.org/10.1145/3575882.3575895" TargetMode="External"/><Relationship Id="rId737" Type="http://schemas.openxmlformats.org/officeDocument/2006/relationships/hyperlink" Target="https://doi.org/10.1109/NISS55057.2022.10085323" TargetMode="External"/><Relationship Id="rId736" Type="http://schemas.openxmlformats.org/officeDocument/2006/relationships/hyperlink" Target="https://doi.org/10.1063/5.0139661" TargetMode="External"/><Relationship Id="rId735" Type="http://schemas.openxmlformats.org/officeDocument/2006/relationships/hyperlink" Target="https://www.scopus.com/record/display.uri?eid=2-s2.0-85160072377&amp;origin=resultslist&amp;sort=plf-f" TargetMode="External"/><Relationship Id="rId37" Type="http://schemas.openxmlformats.org/officeDocument/2006/relationships/hyperlink" Target="https://doi.org/10.4028/p-axmy8o" TargetMode="External"/><Relationship Id="rId36" Type="http://schemas.openxmlformats.org/officeDocument/2006/relationships/hyperlink" Target="https://doi.org/10.1007/s10209-024-01095-1" TargetMode="External"/><Relationship Id="rId39" Type="http://schemas.openxmlformats.org/officeDocument/2006/relationships/hyperlink" Target="https://doi.org/10.1177/02663821231216687" TargetMode="External"/><Relationship Id="rId38" Type="http://schemas.openxmlformats.org/officeDocument/2006/relationships/hyperlink" Target="https://drive.google.com/drive/folders/1iUFWqezMUMTNr_K4e4ixW7OQ-peqqc9E?usp=sharing" TargetMode="External"/><Relationship Id="rId730" Type="http://schemas.openxmlformats.org/officeDocument/2006/relationships/hyperlink" Target="https://www.scopus.com/authid/detail.uri?authorId=35175259000" TargetMode="External"/><Relationship Id="rId972" Type="http://schemas.openxmlformats.org/officeDocument/2006/relationships/drawing" Target="../drawings/drawing1.xml"/><Relationship Id="rId971" Type="http://schemas.openxmlformats.org/officeDocument/2006/relationships/hyperlink" Target="https://doi.org/10.46328/ijemst.3722" TargetMode="External"/><Relationship Id="rId970" Type="http://schemas.openxmlformats.org/officeDocument/2006/relationships/hyperlink" Target="https://www.ijemst.net/index.php/ijemst/article/view/3722" TargetMode="External"/><Relationship Id="rId20" Type="http://schemas.openxmlformats.org/officeDocument/2006/relationships/hyperlink" Target="https://drive.google.com/drive/folders/1iUFWqezMUMTNr_K4e4ixW7OQ-peqqc9E?usp=sharing" TargetMode="External"/><Relationship Id="rId22" Type="http://schemas.openxmlformats.org/officeDocument/2006/relationships/hyperlink" Target="http://m.si/" TargetMode="External"/><Relationship Id="rId21" Type="http://schemas.openxmlformats.org/officeDocument/2006/relationships/hyperlink" Target="https://doi.org/10.5860/llm.v37i3.7559" TargetMode="External"/><Relationship Id="rId24" Type="http://schemas.openxmlformats.org/officeDocument/2006/relationships/hyperlink" Target="https://doi.org/10.1063/5.0192928" TargetMode="External"/><Relationship Id="rId23" Type="http://schemas.openxmlformats.org/officeDocument/2006/relationships/hyperlink" Target="https://drive.google.com/drive/folders/1iUFWqezMUMTNr_K4e4ixW7OQ-peqqc9E?usp=sharing" TargetMode="External"/><Relationship Id="rId525" Type="http://schemas.openxmlformats.org/officeDocument/2006/relationships/hyperlink" Target="https://doi.org/10.1145/3575882.3575919" TargetMode="External"/><Relationship Id="rId767" Type="http://schemas.openxmlformats.org/officeDocument/2006/relationships/hyperlink" Target="https://ieeexplore.ieee.org/document/10285780" TargetMode="External"/><Relationship Id="rId524" Type="http://schemas.openxmlformats.org/officeDocument/2006/relationships/hyperlink" Target="https://doi.org/10.1016/j.jtumed.2023.09.001" TargetMode="External"/><Relationship Id="rId766" Type="http://schemas.openxmlformats.org/officeDocument/2006/relationships/hyperlink" Target="https://ieeexplore.ieee.org/document/10285751" TargetMode="External"/><Relationship Id="rId523" Type="http://schemas.openxmlformats.org/officeDocument/2006/relationships/hyperlink" Target="https://www.sciencedirect.com/science/article/pii/S1658361223001348?via%3Dihub" TargetMode="External"/><Relationship Id="rId765" Type="http://schemas.openxmlformats.org/officeDocument/2006/relationships/hyperlink" Target="https://ieeexplore.ieee.org/document/10285750" TargetMode="External"/><Relationship Id="rId522" Type="http://schemas.openxmlformats.org/officeDocument/2006/relationships/hyperlink" Target="https://doi.org/10.1007/s11664-023-10513-8" TargetMode="External"/><Relationship Id="rId764" Type="http://schemas.openxmlformats.org/officeDocument/2006/relationships/hyperlink" Target="https://ieeexplore.ieee.org/document/10270934" TargetMode="External"/><Relationship Id="rId529" Type="http://schemas.openxmlformats.org/officeDocument/2006/relationships/hyperlink" Target="https://doi.org/10.1016/j.supflu.2023.106031" TargetMode="External"/><Relationship Id="rId528" Type="http://schemas.openxmlformats.org/officeDocument/2006/relationships/hyperlink" Target="https://www.sciencedirect.com/science/article/pii/S089684462300195X?via%3Dihub" TargetMode="External"/><Relationship Id="rId527" Type="http://schemas.openxmlformats.org/officeDocument/2006/relationships/hyperlink" Target="https://doi.org/10.1038/s41598-023-44280-7" TargetMode="External"/><Relationship Id="rId769" Type="http://schemas.openxmlformats.org/officeDocument/2006/relationships/hyperlink" Target="https://www.scopus.com/record/display.uri?eid=2-s2.0-85174635510&amp;origin=resultslist&amp;sort=plf-f" TargetMode="External"/><Relationship Id="rId526" Type="http://schemas.openxmlformats.org/officeDocument/2006/relationships/hyperlink" Target="https://www.nature.com/articles/s41598-023-44280-7" TargetMode="External"/><Relationship Id="rId768" Type="http://schemas.openxmlformats.org/officeDocument/2006/relationships/hyperlink" Target="https://www.scopus.com/record/display.uri?eid=2-s2.0-85174605670&amp;origin=resultslist&amp;sort=plf-f" TargetMode="External"/><Relationship Id="rId26" Type="http://schemas.openxmlformats.org/officeDocument/2006/relationships/hyperlink" Target="https://drive.google.com/drive/folders/1iUFWqezMUMTNr_K4e4ixW7OQ-peqqc9E?usp=sharing" TargetMode="External"/><Relationship Id="rId25" Type="http://schemas.openxmlformats.org/officeDocument/2006/relationships/hyperlink" Target="https://doi.org/10.1016/j.matchemphys.2023.127762" TargetMode="External"/><Relationship Id="rId28" Type="http://schemas.openxmlformats.org/officeDocument/2006/relationships/hyperlink" Target="https://doi.org/10.11113/elektrika.v22n1.419" TargetMode="External"/><Relationship Id="rId27" Type="http://schemas.openxmlformats.org/officeDocument/2006/relationships/hyperlink" Target="https://doi.org/10.1016/j.heliyon.2024.e26191" TargetMode="External"/><Relationship Id="rId521" Type="http://schemas.openxmlformats.org/officeDocument/2006/relationships/hyperlink" Target="https://doi.org/10.1007/978-981-19-9768-6_62" TargetMode="External"/><Relationship Id="rId763" Type="http://schemas.openxmlformats.org/officeDocument/2006/relationships/hyperlink" Target="https://ieeexplore.ieee.org/document/10271069" TargetMode="External"/><Relationship Id="rId29" Type="http://schemas.openxmlformats.org/officeDocument/2006/relationships/hyperlink" Target="https://drive.google.com/drive/folders/1iUFWqezMUMTNr_K4e4ixW7OQ-peqqc9E?usp=sharing" TargetMode="External"/><Relationship Id="rId520" Type="http://schemas.openxmlformats.org/officeDocument/2006/relationships/hyperlink" Target="https://link.springer.com/chapter/10.1007/978-981-19-9768-6_62" TargetMode="External"/><Relationship Id="rId762" Type="http://schemas.openxmlformats.org/officeDocument/2006/relationships/hyperlink" Target="https://ieeexplore.ieee.org/document/10270989" TargetMode="External"/><Relationship Id="rId761" Type="http://schemas.openxmlformats.org/officeDocument/2006/relationships/hyperlink" Target="https://ieeexplore.ieee.org/document/10271044" TargetMode="External"/><Relationship Id="rId760" Type="http://schemas.openxmlformats.org/officeDocument/2006/relationships/hyperlink" Target="http://www.joiv.org/index.php/joiv/article/view/2083" TargetMode="External"/><Relationship Id="rId11" Type="http://schemas.openxmlformats.org/officeDocument/2006/relationships/hyperlink" Target="https://doi.org/10.1109/ACCESS.2024.3355963" TargetMode="External"/><Relationship Id="rId10" Type="http://schemas.openxmlformats.org/officeDocument/2006/relationships/hyperlink" Target="https://drive.google.com/drive/folders/1iUFWqezMUMTNr_K4e4ixW7OQ-peqqc9E?usp=sharing" TargetMode="External"/><Relationship Id="rId13" Type="http://schemas.openxmlformats.org/officeDocument/2006/relationships/hyperlink" Target="https://drive.google.com/drive/folders/1iUFWqezMUMTNr_K4e4ixW7OQ-peqqc9E?usp=sharing" TargetMode="External"/><Relationship Id="rId12" Type="http://schemas.openxmlformats.org/officeDocument/2006/relationships/hyperlink" Target="https://doi.org/10.1016/j.jallcom.2023.170163" TargetMode="External"/><Relationship Id="rId519" Type="http://schemas.openxmlformats.org/officeDocument/2006/relationships/hyperlink" Target="https://doi.org/10.1063/5.0117389" TargetMode="External"/><Relationship Id="rId514" Type="http://schemas.openxmlformats.org/officeDocument/2006/relationships/hyperlink" Target="https://doi.org/10.30492/IJCCE.2023.1988687.5846" TargetMode="External"/><Relationship Id="rId756" Type="http://schemas.openxmlformats.org/officeDocument/2006/relationships/hyperlink" Target="https://doi.org/10.1007/978-981-19-9768-6_74" TargetMode="External"/><Relationship Id="rId513" Type="http://schemas.openxmlformats.org/officeDocument/2006/relationships/hyperlink" Target="https://www.ijcce.ac.ir/article_707555.html" TargetMode="External"/><Relationship Id="rId755" Type="http://schemas.openxmlformats.org/officeDocument/2006/relationships/hyperlink" Target="https://doi.org/10.1007/978-981-19-9768-6_14" TargetMode="External"/><Relationship Id="rId512" Type="http://schemas.openxmlformats.org/officeDocument/2006/relationships/hyperlink" Target="https://doi.org/10.1007/978-981-19-9768-6_59" TargetMode="External"/><Relationship Id="rId754" Type="http://schemas.openxmlformats.org/officeDocument/2006/relationships/hyperlink" Target="https://doi.org/10.1007/978-981-19-9768-6_5" TargetMode="External"/><Relationship Id="rId511" Type="http://schemas.openxmlformats.org/officeDocument/2006/relationships/hyperlink" Target="https://link.springer.com/chapter/10.1007/978-981-19-9768-6_59" TargetMode="External"/><Relationship Id="rId753" Type="http://schemas.openxmlformats.org/officeDocument/2006/relationships/hyperlink" Target="https://doi.org/10.3390/en16155771" TargetMode="External"/><Relationship Id="rId518" Type="http://schemas.openxmlformats.org/officeDocument/2006/relationships/hyperlink" Target="https://doi.org/10.3390/jmse11091765" TargetMode="External"/><Relationship Id="rId517" Type="http://schemas.openxmlformats.org/officeDocument/2006/relationships/hyperlink" Target="https://doi.org/10.1007/s11082-023-05383-7" TargetMode="External"/><Relationship Id="rId759" Type="http://schemas.openxmlformats.org/officeDocument/2006/relationships/hyperlink" Target="https://www.mdpi.com/2071-1050/15/18/13369" TargetMode="External"/><Relationship Id="rId516" Type="http://schemas.openxmlformats.org/officeDocument/2006/relationships/hyperlink" Target="https://doi.org/10.1109/IC3INA60834.2023.10285767" TargetMode="External"/><Relationship Id="rId758" Type="http://schemas.openxmlformats.org/officeDocument/2006/relationships/hyperlink" Target="https://ieeexplore.ieee.org/document/10285756" TargetMode="External"/><Relationship Id="rId515" Type="http://schemas.openxmlformats.org/officeDocument/2006/relationships/hyperlink" Target="https://doi.org/10.1145/3575882.3575934" TargetMode="External"/><Relationship Id="rId757" Type="http://schemas.openxmlformats.org/officeDocument/2006/relationships/hyperlink" Target="https://doi.org/10.1177/10775463221091338" TargetMode="External"/><Relationship Id="rId15" Type="http://schemas.openxmlformats.org/officeDocument/2006/relationships/hyperlink" Target="https://doi.org/10.1016/j.jelechem.2023.117484" TargetMode="External"/><Relationship Id="rId14" Type="http://schemas.openxmlformats.org/officeDocument/2006/relationships/hyperlink" Target="https://doi.org/10.1080/03610926.2022.2077963" TargetMode="External"/><Relationship Id="rId17" Type="http://schemas.openxmlformats.org/officeDocument/2006/relationships/hyperlink" Target="https://www.informingscience.org/Publications/5257" TargetMode="External"/><Relationship Id="rId16" Type="http://schemas.openxmlformats.org/officeDocument/2006/relationships/hyperlink" Target="https://drive.google.com/drive/folders/1iUFWqezMUMTNr_K4e4ixW7OQ-peqqc9E?usp=sharing" TargetMode="External"/><Relationship Id="rId19" Type="http://schemas.openxmlformats.org/officeDocument/2006/relationships/hyperlink" Target="https://doi.org/10.1063/5.0123081" TargetMode="External"/><Relationship Id="rId510" Type="http://schemas.openxmlformats.org/officeDocument/2006/relationships/hyperlink" Target="https://doi.org/10.1145/3575882.3575920" TargetMode="External"/><Relationship Id="rId752" Type="http://schemas.openxmlformats.org/officeDocument/2006/relationships/hyperlink" Target="https://doi.org/10.12911/22998993/163350" TargetMode="External"/><Relationship Id="rId18" Type="http://schemas.openxmlformats.org/officeDocument/2006/relationships/hyperlink" Target="https://doi.org/10.28945/5257" TargetMode="External"/><Relationship Id="rId751" Type="http://schemas.openxmlformats.org/officeDocument/2006/relationships/hyperlink" Target="https://doi.org/10.37934/aram.104.1.111" TargetMode="External"/><Relationship Id="rId750" Type="http://schemas.openxmlformats.org/officeDocument/2006/relationships/hyperlink" Target="https://doi.org/10.37934/aram.105.1.1227" TargetMode="External"/><Relationship Id="rId84" Type="http://schemas.openxmlformats.org/officeDocument/2006/relationships/hyperlink" Target="https://www.scopus.com/record/display.uri?eid=2-s2.0-85193796311&amp;origin=resultslist" TargetMode="External"/><Relationship Id="rId83" Type="http://schemas.openxmlformats.org/officeDocument/2006/relationships/hyperlink" Target="https://drive.google.com/drive/folders/1iUFWqezMUMTNr_K4e4ixW7OQ-peqqc9E?usp=sharing" TargetMode="External"/><Relationship Id="rId86" Type="http://schemas.openxmlformats.org/officeDocument/2006/relationships/hyperlink" Target="https://drive.google.com/drive/folders/1iUFWqezMUMTNr_K4e4ixW7OQ-peqqc9E?usp=sharing" TargetMode="External"/><Relationship Id="rId85" Type="http://schemas.openxmlformats.org/officeDocument/2006/relationships/hyperlink" Target="https://doi.org/10.28945/5280" TargetMode="External"/><Relationship Id="rId88" Type="http://schemas.openxmlformats.org/officeDocument/2006/relationships/hyperlink" Target="https://doi.org/10.1109/ICoSEIT60086.2024.10497473" TargetMode="External"/><Relationship Id="rId87" Type="http://schemas.openxmlformats.org/officeDocument/2006/relationships/hyperlink" Target="https://ieeexplore.ieee.org/document/10497473" TargetMode="External"/><Relationship Id="rId89" Type="http://schemas.openxmlformats.org/officeDocument/2006/relationships/hyperlink" Target="https://doi.org/10.11113/elektrika.v22n1.419" TargetMode="External"/><Relationship Id="rId709" Type="http://schemas.openxmlformats.org/officeDocument/2006/relationships/hyperlink" Target="https://drive.google.com/open?id=19Q8fi3yUGQGOs8cneMM1Z6ym8b0scHAD" TargetMode="External"/><Relationship Id="rId708" Type="http://schemas.openxmlformats.org/officeDocument/2006/relationships/hyperlink" Target="http://2023.itisconf.org/" TargetMode="External"/><Relationship Id="rId707" Type="http://schemas.openxmlformats.org/officeDocument/2006/relationships/hyperlink" Target="https://drive.google.com/open?id=1to_sJocHQjmDAsCzwmkGuiWRxqmmMcyl" TargetMode="External"/><Relationship Id="rId949" Type="http://schemas.openxmlformats.org/officeDocument/2006/relationships/hyperlink" Target="https://drive.google.com/drive/folders/1PbdseYph4v2TiRCmR64NXvBEw8-62YeP?usp=drive_link" TargetMode="External"/><Relationship Id="rId706" Type="http://schemas.openxmlformats.org/officeDocument/2006/relationships/hyperlink" Target="https://icitcom.umy.ac.id/" TargetMode="External"/><Relationship Id="rId948" Type="http://schemas.openxmlformats.org/officeDocument/2006/relationships/hyperlink" Target="https://drive.google.com/drive/folders/1PbdseYph4v2TiRCmR64NXvBEw8-62YeP?usp=drive_link" TargetMode="External"/><Relationship Id="rId80" Type="http://schemas.openxmlformats.org/officeDocument/2006/relationships/hyperlink" Target="https://jsi.cs.ui.ac.id/index.php/jsi/article/view/1399" TargetMode="External"/><Relationship Id="rId82" Type="http://schemas.openxmlformats.org/officeDocument/2006/relationships/hyperlink" Target="https://doi.org/10.2478/joeb-2023-0004" TargetMode="External"/><Relationship Id="rId81" Type="http://schemas.openxmlformats.org/officeDocument/2006/relationships/hyperlink" Target="https://doi.org/10.21609/jsi.v20i1.1399" TargetMode="External"/><Relationship Id="rId701" Type="http://schemas.openxmlformats.org/officeDocument/2006/relationships/hyperlink" Target="https://drive.google.com/open?id=17J-6zeGG3DtUpJ1g7KgMLIUiBeEcr1Ck" TargetMode="External"/><Relationship Id="rId943" Type="http://schemas.openxmlformats.org/officeDocument/2006/relationships/hyperlink" Target="https://iopscience.iop.org/article/10.1088/1361-6528/ad12ed/meta" TargetMode="External"/><Relationship Id="rId700" Type="http://schemas.openxmlformats.org/officeDocument/2006/relationships/hyperlink" Target="https://drive.google.com/open?id=13CMtGvQyjrgg9uJDY0H8Sp4u4WheCDMJ" TargetMode="External"/><Relationship Id="rId942" Type="http://schemas.openxmlformats.org/officeDocument/2006/relationships/hyperlink" Target="https://drive.google.com/drive/folders/1PbdseYph4v2TiRCmR64NXvBEw8-62YeP?usp=drive_link" TargetMode="External"/><Relationship Id="rId941" Type="http://schemas.openxmlformats.org/officeDocument/2006/relationships/hyperlink" Target="https://iopscience.iop.org/article/10.1088/1742-6596/2596/1/012031" TargetMode="External"/><Relationship Id="rId940" Type="http://schemas.openxmlformats.org/officeDocument/2006/relationships/hyperlink" Target="https://drive.google.com/drive/folders/1PbdseYph4v2TiRCmR64NXvBEw8-62YeP?usp=drive_link" TargetMode="External"/><Relationship Id="rId705" Type="http://schemas.openxmlformats.org/officeDocument/2006/relationships/hyperlink" Target="https://drive.google.com/open?id=1XOuJg4Rsvfx5i8KVktY4acqFK-8w6PrL" TargetMode="External"/><Relationship Id="rId947" Type="http://schemas.openxmlformats.org/officeDocument/2006/relationships/hyperlink" Target="https://drive.google.com/drive/folders/1PbdseYph4v2TiRCmR64NXvBEw8-62YeP?usp=drive_link" TargetMode="External"/><Relationship Id="rId704" Type="http://schemas.openxmlformats.org/officeDocument/2006/relationships/hyperlink" Target="https://airosip.umy.ac.id/2023/" TargetMode="External"/><Relationship Id="rId946" Type="http://schemas.openxmlformats.org/officeDocument/2006/relationships/hyperlink" Target="https://drive.google.com/drive/folders/1PbdseYph4v2TiRCmR64NXvBEw8-62YeP?usp=drive_link" TargetMode="External"/><Relationship Id="rId703" Type="http://schemas.openxmlformats.org/officeDocument/2006/relationships/hyperlink" Target="https://drive.google.com/open?id=1LG9afLLYt9vkm6EscdcS4QDwFA6zl-9w" TargetMode="External"/><Relationship Id="rId945" Type="http://schemas.openxmlformats.org/officeDocument/2006/relationships/hyperlink" Target="https://drive.google.com/drive/folders/1PbdseYph4v2TiRCmR64NXvBEw8-62YeP?usp=drive_link" TargetMode="External"/><Relationship Id="rId702" Type="http://schemas.openxmlformats.org/officeDocument/2006/relationships/hyperlink" Target="https://drive.google.com/open?id=1ct9M9lGcb4ns5U4jqDaHnx-JWVO_6LtW" TargetMode="External"/><Relationship Id="rId944" Type="http://schemas.openxmlformats.org/officeDocument/2006/relationships/hyperlink" Target="https://drive.google.com/drive/folders/1PbdseYph4v2TiRCmR64NXvBEw8-62YeP?usp=drive_link" TargetMode="External"/><Relationship Id="rId73" Type="http://schemas.openxmlformats.org/officeDocument/2006/relationships/hyperlink" Target="https://doi.org/10.1021/acs.macromol.3c00843" TargetMode="External"/><Relationship Id="rId72" Type="http://schemas.openxmlformats.org/officeDocument/2006/relationships/hyperlink" Target="https://www.scopus.com/record/display.uri?eid=2-s2.0-85195211131&amp;origin=resultslist&amp;sort=plf-f&amp;src=s&amp;sid=8ebdcf8ead5afcb183bca98b201041f9&amp;sot=b&amp;sdt=b&amp;s=TITLE-ABS-KEY%28BERTopic+Analysis+of+Indonesian+Biodiversity+Policy+on+Social+Media%29&amp;sl=82&amp;sessionSearchId=8ebdcf8ead5afcb183bca98b201041f9&amp;relpos=0" TargetMode="External"/><Relationship Id="rId75" Type="http://schemas.openxmlformats.org/officeDocument/2006/relationships/hyperlink" Target="https://doi.org/10.1063/5.0112874" TargetMode="External"/><Relationship Id="rId74" Type="http://schemas.openxmlformats.org/officeDocument/2006/relationships/hyperlink" Target="https://drive.google.com/drive/folders/1iUFWqezMUMTNr_K4e4ixW7OQ-peqqc9E?usp=sharing" TargetMode="External"/><Relationship Id="rId77" Type="http://schemas.openxmlformats.org/officeDocument/2006/relationships/hyperlink" Target="https://academic-publishing.org/index.php/ejkm/article/view/3407" TargetMode="External"/><Relationship Id="rId76" Type="http://schemas.openxmlformats.org/officeDocument/2006/relationships/hyperlink" Target="https://drive.google.com/drive/folders/1iUFWqezMUMTNr_K4e4ixW7OQ-peqqc9E?usp=sharing" TargetMode="External"/><Relationship Id="rId79" Type="http://schemas.openxmlformats.org/officeDocument/2006/relationships/hyperlink" Target="https://drive.google.com/drive/folders/1iUFWqezMUMTNr_K4e4ixW7OQ-peqqc9E?usp=sharing" TargetMode="External"/><Relationship Id="rId78" Type="http://schemas.openxmlformats.org/officeDocument/2006/relationships/hyperlink" Target="https://doi.org/10.34190/ejkm.22.1.3407" TargetMode="External"/><Relationship Id="rId939" Type="http://schemas.openxmlformats.org/officeDocument/2006/relationships/hyperlink" Target="https://drive.google.com/drive/folders/1PbdseYph4v2TiRCmR64NXvBEw8-62YeP?usp=drive_link" TargetMode="External"/><Relationship Id="rId938" Type="http://schemas.openxmlformats.org/officeDocument/2006/relationships/hyperlink" Target="https://drive.google.com/drive/folders/1PbdseYph4v2TiRCmR64NXvBEw8-62YeP?usp=drive_link" TargetMode="External"/><Relationship Id="rId937" Type="http://schemas.openxmlformats.org/officeDocument/2006/relationships/hyperlink" Target="https://drive.google.com/drive/folders/1PbdseYph4v2TiRCmR64NXvBEw8-62YeP?usp=drive_link" TargetMode="External"/><Relationship Id="rId71" Type="http://schemas.openxmlformats.org/officeDocument/2006/relationships/hyperlink" Target="https://doi.org/10.37936/ecti-cit.2024173.255058" TargetMode="External"/><Relationship Id="rId70" Type="http://schemas.openxmlformats.org/officeDocument/2006/relationships/hyperlink" Target="https://ph01.tci-thaijo.org/index.php/ecticit/article/view/255058" TargetMode="External"/><Relationship Id="rId932" Type="http://schemas.openxmlformats.org/officeDocument/2006/relationships/hyperlink" Target="https://drive.google.com/drive/folders/1PbdseYph4v2TiRCmR64NXvBEw8-62YeP?usp=drive_link" TargetMode="External"/><Relationship Id="rId931" Type="http://schemas.openxmlformats.org/officeDocument/2006/relationships/hyperlink" Target="https://papers.ssrn.com/sol3/papers.cfm?abstract_id=4354181" TargetMode="External"/><Relationship Id="rId930" Type="http://schemas.openxmlformats.org/officeDocument/2006/relationships/hyperlink" Target="https://www.scopus.com/sourceid/21100799500" TargetMode="External"/><Relationship Id="rId936" Type="http://schemas.openxmlformats.org/officeDocument/2006/relationships/hyperlink" Target="https://iopscience.iop.org/article/10.1149/1945-7111/ad0ff4" TargetMode="External"/><Relationship Id="rId935" Type="http://schemas.openxmlformats.org/officeDocument/2006/relationships/hyperlink" Target="https://drive.google.com/drive/folders/1PbdseYph4v2TiRCmR64NXvBEw8-62YeP?usp=drive_link" TargetMode="External"/><Relationship Id="rId934" Type="http://schemas.openxmlformats.org/officeDocument/2006/relationships/hyperlink" Target="https://drive.google.com/drive/folders/1PbdseYph4v2TiRCmR64NXvBEw8-62YeP?usp=drive_link" TargetMode="External"/><Relationship Id="rId933" Type="http://schemas.openxmlformats.org/officeDocument/2006/relationships/hyperlink" Target="https://drive.google.com/drive/folders/1PbdseYph4v2TiRCmR64NXvBEw8-62YeP?usp=drive_link" TargetMode="External"/><Relationship Id="rId62" Type="http://schemas.openxmlformats.org/officeDocument/2006/relationships/hyperlink" Target="https://drive.google.com/drive/folders/1iUFWqezMUMTNr_K4e4ixW7OQ-peqqc9E?usp=sharing" TargetMode="External"/><Relationship Id="rId61" Type="http://schemas.openxmlformats.org/officeDocument/2006/relationships/hyperlink" Target="https://doi.org/10.1109/ICRAMET56917.2022.9991232" TargetMode="External"/><Relationship Id="rId64" Type="http://schemas.openxmlformats.org/officeDocument/2006/relationships/hyperlink" Target="https://doi.org/10.21163/GT_2024.191.12" TargetMode="External"/><Relationship Id="rId63" Type="http://schemas.openxmlformats.org/officeDocument/2006/relationships/hyperlink" Target="https://www.scopus.com/record/display.uri?eid=2-s2.0-85189099672&amp;origin=resultslist" TargetMode="External"/><Relationship Id="rId66" Type="http://schemas.openxmlformats.org/officeDocument/2006/relationships/hyperlink" Target="https://drive.google.com/drive/folders/1iUFWqezMUMTNr_K4e4ixW7OQ-peqqc9E?usp=sharing" TargetMode="External"/><Relationship Id="rId65" Type="http://schemas.openxmlformats.org/officeDocument/2006/relationships/hyperlink" Target="https://doi.org/10.1109/OETIC57156.2022.10176229" TargetMode="External"/><Relationship Id="rId68" Type="http://schemas.openxmlformats.org/officeDocument/2006/relationships/hyperlink" Target="http://s.st/" TargetMode="External"/><Relationship Id="rId67" Type="http://schemas.openxmlformats.org/officeDocument/2006/relationships/hyperlink" Target="https://doi.org/10.1016/j.jelechem.2023.117683" TargetMode="External"/><Relationship Id="rId729" Type="http://schemas.openxmlformats.org/officeDocument/2006/relationships/hyperlink" Target="https://www.scopus.com/authid/detail.uri?authorId=35175259000" TargetMode="External"/><Relationship Id="rId728" Type="http://schemas.openxmlformats.org/officeDocument/2006/relationships/hyperlink" Target="https://www.scopus.com/authid/detail.uri?authorId=57196023742" TargetMode="External"/><Relationship Id="rId60" Type="http://schemas.openxmlformats.org/officeDocument/2006/relationships/hyperlink" Target="https://doi.org/10.1109/ICETSIS61505.2024.10459378" TargetMode="External"/><Relationship Id="rId723" Type="http://schemas.openxmlformats.org/officeDocument/2006/relationships/hyperlink" Target="https://www.scopus.com/authid/detail.uri?authorId=36951986500" TargetMode="External"/><Relationship Id="rId965" Type="http://schemas.openxmlformats.org/officeDocument/2006/relationships/hyperlink" Target="https://ieeexplore.ieee.org/abstract/document/10085620" TargetMode="External"/><Relationship Id="rId722" Type="http://schemas.openxmlformats.org/officeDocument/2006/relationships/hyperlink" Target="https://drive.google.com/file/d/1RBCybgiIca76oF4eTBDFypdMrqREZljm/view?usp=sharing" TargetMode="External"/><Relationship Id="rId964" Type="http://schemas.openxmlformats.org/officeDocument/2006/relationships/hyperlink" Target="http://dx.doi.org/10.12785/ijcds/130191" TargetMode="External"/><Relationship Id="rId721" Type="http://schemas.openxmlformats.org/officeDocument/2006/relationships/hyperlink" Target="https://drive.google.com/open?id=1ghmn35ueniu8XhnXlP-4JH-349nHiakt" TargetMode="External"/><Relationship Id="rId963" Type="http://schemas.openxmlformats.org/officeDocument/2006/relationships/hyperlink" Target="https://journal.uob.edu.bh/handle/123456789/4836" TargetMode="External"/><Relationship Id="rId720" Type="http://schemas.openxmlformats.org/officeDocument/2006/relationships/hyperlink" Target="https://icwt-seei.org/2023" TargetMode="External"/><Relationship Id="rId962" Type="http://schemas.openxmlformats.org/officeDocument/2006/relationships/hyperlink" Target="https://doi.org/10.1145/3575882.3575933" TargetMode="External"/><Relationship Id="rId727" Type="http://schemas.openxmlformats.org/officeDocument/2006/relationships/hyperlink" Target="https://www.scopus.com/authid/detail.uri?authorId=57190934676" TargetMode="External"/><Relationship Id="rId969" Type="http://schemas.openxmlformats.org/officeDocument/2006/relationships/hyperlink" Target="https://thesai.org/Publications/ViewPaper?Volume=14&amp;Issue=9&amp;Code=IJACSA&amp;SerialNo=35" TargetMode="External"/><Relationship Id="rId726" Type="http://schemas.openxmlformats.org/officeDocument/2006/relationships/hyperlink" Target="https://www.scopus.com/authid/detail.uri?authorId=55869180100" TargetMode="External"/><Relationship Id="rId968" Type="http://schemas.openxmlformats.org/officeDocument/2006/relationships/hyperlink" Target="https://doi.org/10.1109/CyMaEn57228.2023.10051044" TargetMode="External"/><Relationship Id="rId725" Type="http://schemas.openxmlformats.org/officeDocument/2006/relationships/hyperlink" Target="https://www.scopus.com/record/display.uri?eid=2-s2.0-85148028498&amp;origin=resultslist&amp;sort=plf-f" TargetMode="External"/><Relationship Id="rId967" Type="http://schemas.openxmlformats.org/officeDocument/2006/relationships/hyperlink" Target="https://ieeexplore.ieee.org/document/10051044" TargetMode="External"/><Relationship Id="rId724" Type="http://schemas.openxmlformats.org/officeDocument/2006/relationships/hyperlink" Target="https://www.scopus.com/authid/detail.uri?authorId=6506629493" TargetMode="External"/><Relationship Id="rId966" Type="http://schemas.openxmlformats.org/officeDocument/2006/relationships/hyperlink" Target="https://doi.org/10.1109/NISS55057.2022.10085620" TargetMode="External"/><Relationship Id="rId69" Type="http://schemas.openxmlformats.org/officeDocument/2006/relationships/hyperlink" Target="https://drive.google.com/drive/folders/1iUFWqezMUMTNr_K4e4ixW7OQ-peqqc9E?usp=sharing" TargetMode="External"/><Relationship Id="rId961" Type="http://schemas.openxmlformats.org/officeDocument/2006/relationships/hyperlink" Target="https://dl.acm.org/doi/abs/10.1145/3575882.3575933" TargetMode="External"/><Relationship Id="rId960" Type="http://schemas.openxmlformats.org/officeDocument/2006/relationships/hyperlink" Target="https://www.igi-global.com/chapter/artificial-intelligence-and-machine-learning-innovation-in-sdgs/317696" TargetMode="External"/><Relationship Id="rId51" Type="http://schemas.openxmlformats.org/officeDocument/2006/relationships/hyperlink" Target="https://www.scopus.com/record/display.uri?eid=2-s2.0-85189244036&amp;origin=resultslist" TargetMode="External"/><Relationship Id="rId50" Type="http://schemas.openxmlformats.org/officeDocument/2006/relationships/hyperlink" Target="https://drive.google.com/drive/folders/1iUFWqezMUMTNr_K4e4ixW7OQ-peqqc9E?usp=sharing" TargetMode="External"/><Relationship Id="rId53" Type="http://schemas.openxmlformats.org/officeDocument/2006/relationships/hyperlink" Target="https://link.springer.com/article/10.1007/s10854-023-10890-0" TargetMode="External"/><Relationship Id="rId52" Type="http://schemas.openxmlformats.org/officeDocument/2006/relationships/hyperlink" Target="https://doi.org/10.1051/e3sconf/202450102003" TargetMode="External"/><Relationship Id="rId55" Type="http://schemas.openxmlformats.org/officeDocument/2006/relationships/hyperlink" Target="https://www.scopus.com/record/display.uri?eid=2-s2.0-85190103003&amp;origin=resultslist" TargetMode="External"/><Relationship Id="rId54" Type="http://schemas.openxmlformats.org/officeDocument/2006/relationships/hyperlink" Target="https://drive.google.com/drive/folders/1iUFWqezMUMTNr_K4e4ixW7OQ-peqqc9E?usp=sharing" TargetMode="External"/><Relationship Id="rId57" Type="http://schemas.openxmlformats.org/officeDocument/2006/relationships/hyperlink" Target="https://doi.org/10.1109/UT49729.2023.10103368" TargetMode="External"/><Relationship Id="rId56" Type="http://schemas.openxmlformats.org/officeDocument/2006/relationships/hyperlink" Target="https://doi.org/10.52549/ijeei.v12i1.5154" TargetMode="External"/><Relationship Id="rId719" Type="http://schemas.openxmlformats.org/officeDocument/2006/relationships/hyperlink" Target="https://drive.google.com/open?id=1fuK-FFrqCnWHK5l4UfsAfGYaNVowP5LY" TargetMode="External"/><Relationship Id="rId718" Type="http://schemas.openxmlformats.org/officeDocument/2006/relationships/hyperlink" Target="https://drive.google.com/open?id=1mKtt3LMUmWF4JLg8B795W8fiSC8-zmWc" TargetMode="External"/><Relationship Id="rId717" Type="http://schemas.openxmlformats.org/officeDocument/2006/relationships/hyperlink" Target="https://drive.google.com/open?id=1Bc2KfCHLT0rJ2jgvhCscsKGpCK6J3Hbm" TargetMode="External"/><Relationship Id="rId959" Type="http://schemas.openxmlformats.org/officeDocument/2006/relationships/hyperlink" Target="https://www.scopus.com/authid/detail.uri?authorId=57431400300" TargetMode="External"/><Relationship Id="rId712" Type="http://schemas.openxmlformats.org/officeDocument/2006/relationships/hyperlink" Target="https://tssa-conference.org/2023/" TargetMode="External"/><Relationship Id="rId954" Type="http://schemas.openxmlformats.org/officeDocument/2006/relationships/hyperlink" Target="https://drive.google.com/drive/folders/1PbdseYph4v2TiRCmR64NXvBEw8-62YeP?usp=drive_link" TargetMode="External"/><Relationship Id="rId711" Type="http://schemas.openxmlformats.org/officeDocument/2006/relationships/hyperlink" Target="https://drive.google.com/open?id=1VZYFu0fWe0CkAaCpZD3XXiTUIn5DIPao" TargetMode="External"/><Relationship Id="rId953" Type="http://schemas.openxmlformats.org/officeDocument/2006/relationships/hyperlink" Target="https://drive.google.com/drive/folders/1PbdseYph4v2TiRCmR64NXvBEw8-62YeP?usp=drive_link" TargetMode="External"/><Relationship Id="rId710" Type="http://schemas.openxmlformats.org/officeDocument/2006/relationships/hyperlink" Target="https://tssa-conference.org/2023/" TargetMode="External"/><Relationship Id="rId952" Type="http://schemas.openxmlformats.org/officeDocument/2006/relationships/hyperlink" Target="https://drive.google.com/drive/folders/1PbdseYph4v2TiRCmR64NXvBEw8-62YeP?usp=drive_link" TargetMode="External"/><Relationship Id="rId951" Type="http://schemas.openxmlformats.org/officeDocument/2006/relationships/hyperlink" Target="https://drive.google.com/drive/folders/1PbdseYph4v2TiRCmR64NXvBEw8-62YeP?usp=drive_link" TargetMode="External"/><Relationship Id="rId716" Type="http://schemas.openxmlformats.org/officeDocument/2006/relationships/hyperlink" Target="https://drive.google.com/open?id=1SvBQCCAe3RPgn2BlTogm5cvcnfrkKksR" TargetMode="External"/><Relationship Id="rId958" Type="http://schemas.openxmlformats.org/officeDocument/2006/relationships/hyperlink" Target="https://www.scopus.com/authid/detail.uri?authorId=57205125029" TargetMode="External"/><Relationship Id="rId715" Type="http://schemas.openxmlformats.org/officeDocument/2006/relationships/hyperlink" Target="http://2023.itisconf.org/" TargetMode="External"/><Relationship Id="rId957" Type="http://schemas.openxmlformats.org/officeDocument/2006/relationships/hyperlink" Target="https://drive.google.com/drive/folders/1PbdseYph4v2TiRCmR64NXvBEw8-62YeP?usp=drive_link" TargetMode="External"/><Relationship Id="rId714" Type="http://schemas.openxmlformats.org/officeDocument/2006/relationships/hyperlink" Target="https://drive.google.com/open?id=1xN4rfyQwP8qMn6Rar3ABN1p2U2UY1LyV" TargetMode="External"/><Relationship Id="rId956" Type="http://schemas.openxmlformats.org/officeDocument/2006/relationships/hyperlink" Target="https://drive.google.com/drive/folders/1PbdseYph4v2TiRCmR64NXvBEw8-62YeP?usp=drive_link" TargetMode="External"/><Relationship Id="rId713" Type="http://schemas.openxmlformats.org/officeDocument/2006/relationships/hyperlink" Target="https://drive.google.com/open?id=1I6Z0fOW2gNhCehhW9JrGtbXBhetwXjXy" TargetMode="External"/><Relationship Id="rId955" Type="http://schemas.openxmlformats.org/officeDocument/2006/relationships/hyperlink" Target="https://drive.google.com/drive/folders/1PbdseYph4v2TiRCmR64NXvBEw8-62YeP?usp=drive_link" TargetMode="External"/><Relationship Id="rId59" Type="http://schemas.openxmlformats.org/officeDocument/2006/relationships/hyperlink" Target="https://www.scopus.com/record/display.uri?eid=2-s2.0-85190524897&amp;origin=resultslist" TargetMode="External"/><Relationship Id="rId58" Type="http://schemas.openxmlformats.org/officeDocument/2006/relationships/hyperlink" Target="https://drive.google.com/drive/folders/1iUFWqezMUMTNr_K4e4ixW7OQ-peqqc9E?usp=sharing" TargetMode="External"/><Relationship Id="rId950" Type="http://schemas.openxmlformats.org/officeDocument/2006/relationships/hyperlink" Target="https://drive.google.com/drive/folders/1PbdseYph4v2TiRCmR64NXvBEw8-62YeP?usp=drive_link" TargetMode="External"/><Relationship Id="rId590" Type="http://schemas.openxmlformats.org/officeDocument/2006/relationships/hyperlink" Target="https://doi.org/10.1109/ISITIA59021.2023.10221180" TargetMode="External"/><Relationship Id="rId107" Type="http://schemas.openxmlformats.org/officeDocument/2006/relationships/hyperlink" Target="https://journals.sagepub.com/doi/abs/10.1177/09610006241252662" TargetMode="External"/><Relationship Id="rId349" Type="http://schemas.openxmlformats.org/officeDocument/2006/relationships/hyperlink" Target="https://drive.google.com/drive/folders/1iUFWqezMUMTNr_K4e4ixW7OQ-peqqc9E?usp=sharing" TargetMode="External"/><Relationship Id="rId106" Type="http://schemas.openxmlformats.org/officeDocument/2006/relationships/hyperlink" Target="https://drive.google.com/drive/folders/1iUFWqezMUMTNr_K4e4ixW7OQ-peqqc9E?usp=sharing" TargetMode="External"/><Relationship Id="rId348" Type="http://schemas.openxmlformats.org/officeDocument/2006/relationships/hyperlink" Target="https://doi.org/10.1109/ICITRI59340.2023.10249255" TargetMode="External"/><Relationship Id="rId105" Type="http://schemas.openxmlformats.org/officeDocument/2006/relationships/hyperlink" Target="https://drive.google.com/drive/folders/1iUFWqezMUMTNr_K4e4ixW7OQ-peqqc9E?usp=sharing" TargetMode="External"/><Relationship Id="rId347" Type="http://schemas.openxmlformats.org/officeDocument/2006/relationships/hyperlink" Target="https://drive.google.com/drive/folders/1iUFWqezMUMTNr_K4e4ixW7OQ-peqqc9E?usp=sharing" TargetMode="External"/><Relationship Id="rId589" Type="http://schemas.openxmlformats.org/officeDocument/2006/relationships/hyperlink" Target="https://doi.org/10.23919/URSIGASS57860.2023.10265452" TargetMode="External"/><Relationship Id="rId104" Type="http://schemas.openxmlformats.org/officeDocument/2006/relationships/hyperlink" Target="https://doi.org/10.1145/3575882.3575889" TargetMode="External"/><Relationship Id="rId346" Type="http://schemas.openxmlformats.org/officeDocument/2006/relationships/hyperlink" Target="https://doi.org/10.1063/5.0128541" TargetMode="External"/><Relationship Id="rId588" Type="http://schemas.openxmlformats.org/officeDocument/2006/relationships/hyperlink" Target="https://drive.google.com/open?id=1dWeezm9O896lVu4vrbBq8LRWK_Rf3fcS" TargetMode="External"/><Relationship Id="rId109" Type="http://schemas.openxmlformats.org/officeDocument/2006/relationships/hyperlink" Target="https://doi.org/10.11113/elektrika.v22n2.457" TargetMode="External"/><Relationship Id="rId108" Type="http://schemas.openxmlformats.org/officeDocument/2006/relationships/hyperlink" Target="https://doi.org/10.1177/09610006241252662" TargetMode="External"/><Relationship Id="rId341" Type="http://schemas.openxmlformats.org/officeDocument/2006/relationships/hyperlink" Target="https://drive.google.com/drive/folders/1iUFWqezMUMTNr_K4e4ixW7OQ-peqqc9E?usp=sharing" TargetMode="External"/><Relationship Id="rId583" Type="http://schemas.openxmlformats.org/officeDocument/2006/relationships/hyperlink" Target="https://doi.org/10.1109/ICONAT57137.2023.10080779" TargetMode="External"/><Relationship Id="rId340" Type="http://schemas.openxmlformats.org/officeDocument/2006/relationships/hyperlink" Target="https://doi.org/10.1145/3575882.3575945" TargetMode="External"/><Relationship Id="rId582" Type="http://schemas.openxmlformats.org/officeDocument/2006/relationships/hyperlink" Target="https://drive.google.com/open?id=1GIrWhw4jCqxkrT-tUKS4OArKPv2-zFbd" TargetMode="External"/><Relationship Id="rId581" Type="http://schemas.openxmlformats.org/officeDocument/2006/relationships/hyperlink" Target="https://doi.org/10.1109/OJCOMS.2023.3294791" TargetMode="External"/><Relationship Id="rId580" Type="http://schemas.openxmlformats.org/officeDocument/2006/relationships/hyperlink" Target="https://drive.google.com/open?id=1o-ylmWFIPJNX7rhbC86iincD2Ai1SgEY" TargetMode="External"/><Relationship Id="rId103" Type="http://schemas.openxmlformats.org/officeDocument/2006/relationships/hyperlink" Target="https://doi.org/10.1088/1361-6501/ad4fae" TargetMode="External"/><Relationship Id="rId345" Type="http://schemas.openxmlformats.org/officeDocument/2006/relationships/hyperlink" Target="https://drive.google.com/drive/folders/1iUFWqezMUMTNr_K4e4ixW7OQ-peqqc9E?usp=sharing" TargetMode="External"/><Relationship Id="rId587" Type="http://schemas.openxmlformats.org/officeDocument/2006/relationships/hyperlink" Target="https://journal.uob.edu.bh/bitstream/handle/123456789/4889/1570853994.pdf?sequence=1&amp;isAllowed=y" TargetMode="External"/><Relationship Id="rId102" Type="http://schemas.openxmlformats.org/officeDocument/2006/relationships/hyperlink" Target="https://iopscience.iop.org/article/10.1088/1361-6501/ad4fae/meta" TargetMode="External"/><Relationship Id="rId344" Type="http://schemas.openxmlformats.org/officeDocument/2006/relationships/hyperlink" Target="https://doi.org/10.1145/3575882.3575918" TargetMode="External"/><Relationship Id="rId586" Type="http://schemas.openxmlformats.org/officeDocument/2006/relationships/hyperlink" Target="https://drive.google.com/open?id=17gl9dPCFATottVaPC-vmQEeEFyLfr4vQ" TargetMode="External"/><Relationship Id="rId101" Type="http://schemas.openxmlformats.org/officeDocument/2006/relationships/hyperlink" Target="https://drive.google.com/drive/folders/1iUFWqezMUMTNr_K4e4ixW7OQ-peqqc9E?usp=sharing" TargetMode="External"/><Relationship Id="rId343" Type="http://schemas.openxmlformats.org/officeDocument/2006/relationships/hyperlink" Target="https://drive.google.com/drive/folders/1iUFWqezMUMTNr_K4e4ixW7OQ-peqqc9E?usp=sharing" TargetMode="External"/><Relationship Id="rId585" Type="http://schemas.openxmlformats.org/officeDocument/2006/relationships/hyperlink" Target="https://doi.org/%2010.14569/IJACSA.2023.0140521" TargetMode="External"/><Relationship Id="rId100" Type="http://schemas.openxmlformats.org/officeDocument/2006/relationships/hyperlink" Target="https://doi.org/10.1016/j.jiec.2023.07.032" TargetMode="External"/><Relationship Id="rId342" Type="http://schemas.openxmlformats.org/officeDocument/2006/relationships/hyperlink" Target="http://dx.doi.org/10.1109/NISS55057.2022.10085505" TargetMode="External"/><Relationship Id="rId584" Type="http://schemas.openxmlformats.org/officeDocument/2006/relationships/hyperlink" Target="https://drive.google.com/open?id=1hSh_yqewH-1QVIBAupiGmFcS0oUPA7ae" TargetMode="External"/><Relationship Id="rId338" Type="http://schemas.openxmlformats.org/officeDocument/2006/relationships/hyperlink" Target="https://doi.org/10.14569/IJACSA.2023.01406116" TargetMode="External"/><Relationship Id="rId337" Type="http://schemas.openxmlformats.org/officeDocument/2006/relationships/hyperlink" Target="https://drive.google.com/drive/folders/1iUFWqezMUMTNr_K4e4ixW7OQ-peqqc9E?usp=sharing" TargetMode="External"/><Relationship Id="rId579" Type="http://schemas.openxmlformats.org/officeDocument/2006/relationships/hyperlink" Target="https://doi.org/10.6180/jase.202404_27(04).0007" TargetMode="External"/><Relationship Id="rId336" Type="http://schemas.openxmlformats.org/officeDocument/2006/relationships/hyperlink" Target="https://doi.org/10.1145/3575882.3575908" TargetMode="External"/><Relationship Id="rId578" Type="http://schemas.openxmlformats.org/officeDocument/2006/relationships/hyperlink" Target="https://doi.org/10.1007/s11063-022-11087-y" TargetMode="External"/><Relationship Id="rId335" Type="http://schemas.openxmlformats.org/officeDocument/2006/relationships/hyperlink" Target="https://drive.google.com/drive/folders/1iUFWqezMUMTNr_K4e4ixW7OQ-peqqc9E?usp=sharing" TargetMode="External"/><Relationship Id="rId577" Type="http://schemas.openxmlformats.org/officeDocument/2006/relationships/hyperlink" Target="https://doi.org/10.1109/ICITISEE57756.2022.10057704" TargetMode="External"/><Relationship Id="rId339" Type="http://schemas.openxmlformats.org/officeDocument/2006/relationships/hyperlink" Target="https://drive.google.com/drive/folders/1iUFWqezMUMTNr_K4e4ixW7OQ-peqqc9E?usp=sharing" TargetMode="External"/><Relationship Id="rId330" Type="http://schemas.openxmlformats.org/officeDocument/2006/relationships/hyperlink" Target="https://doi.org/10.1145/3575882.3575927" TargetMode="External"/><Relationship Id="rId572" Type="http://schemas.openxmlformats.org/officeDocument/2006/relationships/hyperlink" Target="https://drive.google.com/file/d/1IXLGt70mygH9TQis-tQsoI96gQBTEezh/view?usp=sharing" TargetMode="External"/><Relationship Id="rId571" Type="http://schemas.openxmlformats.org/officeDocument/2006/relationships/hyperlink" Target="https://drive.google.com/file/d/1DDoWHhUze6KXc9RoeONuXmUSUA3-sJSE/view?usp=drive_link" TargetMode="External"/><Relationship Id="rId570" Type="http://schemas.openxmlformats.org/officeDocument/2006/relationships/hyperlink" Target="https://drive.google.com/file/d/1QmeIen310ihS2Wxs7FnvDCpfwwWBYD2i/view?usp=sharing" TargetMode="External"/><Relationship Id="rId334" Type="http://schemas.openxmlformats.org/officeDocument/2006/relationships/hyperlink" Target="http://dx.doi.org/10.18653/v1/2023.semeval-1.120" TargetMode="External"/><Relationship Id="rId576" Type="http://schemas.openxmlformats.org/officeDocument/2006/relationships/hyperlink" Target="https://drive.google.com/file/d/1Pbyq1hMrmPgj2KhIIMUw15DGblVUH75t/view?usp=sharing" TargetMode="External"/><Relationship Id="rId333" Type="http://schemas.openxmlformats.org/officeDocument/2006/relationships/hyperlink" Target="https://drive.google.com/drive/folders/1iUFWqezMUMTNr_K4e4ixW7OQ-peqqc9E?usp=sharing" TargetMode="External"/><Relationship Id="rId575" Type="http://schemas.openxmlformats.org/officeDocument/2006/relationships/hyperlink" Target="https://drive.google.com/file/d/1W58nRGa5OtbJvYSq-4qFqxLQXW0pc19e/view?usp=sharing" TargetMode="External"/><Relationship Id="rId332" Type="http://schemas.openxmlformats.org/officeDocument/2006/relationships/hyperlink" Target="https://doi.org/10.1007/s13278-023-01044-5" TargetMode="External"/><Relationship Id="rId574" Type="http://schemas.openxmlformats.org/officeDocument/2006/relationships/hyperlink" Target="https://drive.google.com/file/d/1YPdA_bZMOLKX0lsztCvP2v_CgxO8fYfM/view?usp=sharing" TargetMode="External"/><Relationship Id="rId331" Type="http://schemas.openxmlformats.org/officeDocument/2006/relationships/hyperlink" Target="https://drive.google.com/drive/folders/1iUFWqezMUMTNr_K4e4ixW7OQ-peqqc9E?usp=sharing" TargetMode="External"/><Relationship Id="rId573" Type="http://schemas.openxmlformats.org/officeDocument/2006/relationships/hyperlink" Target="https://drive.google.com/file/d/1I4PiFLEGq_gQLIo1dWi_ACQIFvtJnF1g/view?usp=sharing" TargetMode="External"/><Relationship Id="rId370" Type="http://schemas.openxmlformats.org/officeDocument/2006/relationships/hyperlink" Target="https://doi.org/10.20965/jaciii.2023.p1159" TargetMode="External"/><Relationship Id="rId129" Type="http://schemas.openxmlformats.org/officeDocument/2006/relationships/hyperlink" Target="https://journals.sagepub.com/eprint/WTPBYRJADKF6ZQQ9SFBD/full" TargetMode="External"/><Relationship Id="rId128" Type="http://schemas.openxmlformats.org/officeDocument/2006/relationships/hyperlink" Target="https://drive.google.com/drive/folders/1iUFWqezMUMTNr_K4e4ixW7OQ-peqqc9E?usp=sharing" TargetMode="External"/><Relationship Id="rId127" Type="http://schemas.openxmlformats.org/officeDocument/2006/relationships/hyperlink" Target="https://doi.org/10.1016/j.jcrysgro.2022.126975" TargetMode="External"/><Relationship Id="rId369" Type="http://schemas.openxmlformats.org/officeDocument/2006/relationships/hyperlink" Target="https://drive.google.com/drive/folders/1iUFWqezMUMTNr_K4e4ixW7OQ-peqqc9E?usp=sharing" TargetMode="External"/><Relationship Id="rId126" Type="http://schemas.openxmlformats.org/officeDocument/2006/relationships/hyperlink" Target="https://drive.google.com/drive/folders/1iUFWqezMUMTNr_K4e4ixW7OQ-peqqc9E?usp=sharing" TargetMode="External"/><Relationship Id="rId368" Type="http://schemas.openxmlformats.org/officeDocument/2006/relationships/hyperlink" Target="https://doi.org/10.1109/IC3INA60834.2023.10285782" TargetMode="External"/><Relationship Id="rId121" Type="http://schemas.openxmlformats.org/officeDocument/2006/relationships/hyperlink" Target="https://doi.org/10.1145/3575882.3575889" TargetMode="External"/><Relationship Id="rId363" Type="http://schemas.openxmlformats.org/officeDocument/2006/relationships/hyperlink" Target="https://drive.google.com/drive/folders/1iUFWqezMUMTNr_K4e4ixW7OQ-peqqc9E?usp=sharing" TargetMode="External"/><Relationship Id="rId120" Type="http://schemas.openxmlformats.org/officeDocument/2006/relationships/hyperlink" Target="https://doi.org/10.1109/AGERS61027.2023.10490762" TargetMode="External"/><Relationship Id="rId362" Type="http://schemas.openxmlformats.org/officeDocument/2006/relationships/hyperlink" Target="https://doi.org/10.1109/NISS55057.2022.10085172" TargetMode="External"/><Relationship Id="rId361" Type="http://schemas.openxmlformats.org/officeDocument/2006/relationships/hyperlink" Target="https://drive.google.com/drive/folders/1iUFWqezMUMTNr_K4e4ixW7OQ-peqqc9E?usp=sharing" TargetMode="External"/><Relationship Id="rId360" Type="http://schemas.openxmlformats.org/officeDocument/2006/relationships/hyperlink" Target="https://doi.org/10.1145/3626641.3626666" TargetMode="External"/><Relationship Id="rId125" Type="http://schemas.openxmlformats.org/officeDocument/2006/relationships/hyperlink" Target="https://doi.org/10.1109/ICRAMET60171.2023.10366721" TargetMode="External"/><Relationship Id="rId367" Type="http://schemas.openxmlformats.org/officeDocument/2006/relationships/hyperlink" Target="https://drive.google.com/drive/folders/1iUFWqezMUMTNr_K4e4ixW7OQ-peqqc9E?usp=sharing" TargetMode="External"/><Relationship Id="rId124" Type="http://schemas.openxmlformats.org/officeDocument/2006/relationships/hyperlink" Target="https://doi.org/10.1109/AGERS61027.2023.10490691" TargetMode="External"/><Relationship Id="rId366" Type="http://schemas.openxmlformats.org/officeDocument/2006/relationships/hyperlink" Target="https://doi.org/10.1109/IC3INA60834.2023.10285736" TargetMode="External"/><Relationship Id="rId123" Type="http://schemas.openxmlformats.org/officeDocument/2006/relationships/hyperlink" Target="https://ieeexplore.ieee.org/abstract/document/10490691" TargetMode="External"/><Relationship Id="rId365" Type="http://schemas.openxmlformats.org/officeDocument/2006/relationships/hyperlink" Target="https://drive.google.com/drive/folders/1iUFWqezMUMTNr_K4e4ixW7OQ-peqqc9E?usp=sharing" TargetMode="External"/><Relationship Id="rId122" Type="http://schemas.openxmlformats.org/officeDocument/2006/relationships/hyperlink" Target="https://drive.google.com/drive/folders/1iUFWqezMUMTNr_K4e4ixW7OQ-peqqc9E?usp=sharing" TargetMode="External"/><Relationship Id="rId364" Type="http://schemas.openxmlformats.org/officeDocument/2006/relationships/hyperlink" Target="https://doi.org/10.1109/IC3INA60834.2023.10285760" TargetMode="External"/><Relationship Id="rId95" Type="http://schemas.openxmlformats.org/officeDocument/2006/relationships/hyperlink" Target="https://doi.org/10.5267/j.uscm.2024.5.007" TargetMode="External"/><Relationship Id="rId94" Type="http://schemas.openxmlformats.org/officeDocument/2006/relationships/hyperlink" Target="https://growingscience.com/beta/uscm/7114-supply-chain-pattern-of-blue-swimming-crabs-in-the-north-coast-of-java-indonesia.html" TargetMode="External"/><Relationship Id="rId97" Type="http://schemas.openxmlformats.org/officeDocument/2006/relationships/hyperlink" Target="https://drive.google.com/drive/folders/1iUFWqezMUMTNr_K4e4ixW7OQ-peqqc9E?usp=sharing" TargetMode="External"/><Relationship Id="rId96" Type="http://schemas.openxmlformats.org/officeDocument/2006/relationships/hyperlink" Target="https://doi.org/10.1016/j.imavis.2023.104749" TargetMode="External"/><Relationship Id="rId99" Type="http://schemas.openxmlformats.org/officeDocument/2006/relationships/hyperlink" Target="https://doi.org/10.1063/5.0208106" TargetMode="External"/><Relationship Id="rId98" Type="http://schemas.openxmlformats.org/officeDocument/2006/relationships/hyperlink" Target="https://www.scopus.com/record/display.uri?eid=2-s2.0-85190860420&amp;origin=resultslist" TargetMode="External"/><Relationship Id="rId91" Type="http://schemas.openxmlformats.org/officeDocument/2006/relationships/hyperlink" Target="https://www.trjfas.org/" TargetMode="External"/><Relationship Id="rId90" Type="http://schemas.openxmlformats.org/officeDocument/2006/relationships/hyperlink" Target="https://drive.google.com/drive/folders/1iUFWqezMUMTNr_K4e4ixW7OQ-peqqc9E?usp=sharing" TargetMode="External"/><Relationship Id="rId93" Type="http://schemas.openxmlformats.org/officeDocument/2006/relationships/hyperlink" Target="https://drive.google.com/drive/folders/1iUFWqezMUMTNr_K4e4ixW7OQ-peqqc9E?usp=sharing" TargetMode="External"/><Relationship Id="rId92" Type="http://schemas.openxmlformats.org/officeDocument/2006/relationships/hyperlink" Target="https://doi.org/10.18280/jesa.560311" TargetMode="External"/><Relationship Id="rId118" Type="http://schemas.openxmlformats.org/officeDocument/2006/relationships/hyperlink" Target="https://drive.google.com/drive/folders/1iUFWqezMUMTNr_K4e4ixW7OQ-peqqc9E?usp=sharing" TargetMode="External"/><Relationship Id="rId117" Type="http://schemas.openxmlformats.org/officeDocument/2006/relationships/hyperlink" Target="https://doi.org/10.1080/25740881.2022.2151064" TargetMode="External"/><Relationship Id="rId359" Type="http://schemas.openxmlformats.org/officeDocument/2006/relationships/hyperlink" Target="https://drive.google.com/drive/folders/1iUFWqezMUMTNr_K4e4ixW7OQ-peqqc9E?usp=sharing" TargetMode="External"/><Relationship Id="rId116" Type="http://schemas.openxmlformats.org/officeDocument/2006/relationships/hyperlink" Target="https://doi.org/10.32520/stmsi.v13i3.3679" TargetMode="External"/><Relationship Id="rId358" Type="http://schemas.openxmlformats.org/officeDocument/2006/relationships/hyperlink" Target="http://doi.org/10.1109/IC3INA60834.2023.10285783" TargetMode="External"/><Relationship Id="rId115" Type="http://schemas.openxmlformats.org/officeDocument/2006/relationships/hyperlink" Target="https://sistemasi.ftik.unisi.ac.id/index.php/stmsi/article/view/3679" TargetMode="External"/><Relationship Id="rId357" Type="http://schemas.openxmlformats.org/officeDocument/2006/relationships/hyperlink" Target="https://drive.google.com/drive/folders/1iUFWqezMUMTNr_K4e4ixW7OQ-peqqc9E?usp=sharing" TargetMode="External"/><Relationship Id="rId599" Type="http://schemas.openxmlformats.org/officeDocument/2006/relationships/hyperlink" Target="https://www.scopus.com/record/display.uri?eid=2-s2.0-85146175917&amp;origin=resultslist&amp;sort=plf-f" TargetMode="External"/><Relationship Id="rId119" Type="http://schemas.openxmlformats.org/officeDocument/2006/relationships/hyperlink" Target="https://ieeexplore.ieee.org/abstract/document/10490762" TargetMode="External"/><Relationship Id="rId110" Type="http://schemas.openxmlformats.org/officeDocument/2006/relationships/hyperlink" Target="https://drive.google.com/drive/folders/1iUFWqezMUMTNr_K4e4ixW7OQ-peqqc9E?usp=sharing" TargetMode="External"/><Relationship Id="rId352" Type="http://schemas.openxmlformats.org/officeDocument/2006/relationships/hyperlink" Target="https://doi.org/10.1109/IC3INA60834.2023.10285743" TargetMode="External"/><Relationship Id="rId594" Type="http://schemas.openxmlformats.org/officeDocument/2006/relationships/hyperlink" Target="https://drive.google.com/open?id=1nXxbU5hhLQTplUXls1xuMJmYvf5f2lsm" TargetMode="External"/><Relationship Id="rId351" Type="http://schemas.openxmlformats.org/officeDocument/2006/relationships/hyperlink" Target="https://drive.google.com/drive/folders/1iUFWqezMUMTNr_K4e4ixW7OQ-peqqc9E?usp=sharing" TargetMode="External"/><Relationship Id="rId593" Type="http://schemas.openxmlformats.org/officeDocument/2006/relationships/hyperlink" Target="https://doi.org/10.1038/s41598-023-34112-z" TargetMode="External"/><Relationship Id="rId350" Type="http://schemas.openxmlformats.org/officeDocument/2006/relationships/hyperlink" Target="https://doi.org/10.46328/ijemst.3722" TargetMode="External"/><Relationship Id="rId592" Type="http://schemas.openxmlformats.org/officeDocument/2006/relationships/hyperlink" Target="https://doi.org/10.11591/ijai.v12.i2.pp610-617" TargetMode="External"/><Relationship Id="rId591" Type="http://schemas.openxmlformats.org/officeDocument/2006/relationships/hyperlink" Target="https://drive.google.com/open?id=1cnnVTWTj_ZwWwVgmLp7AC9iwMDzI5KmM" TargetMode="External"/><Relationship Id="rId114" Type="http://schemas.openxmlformats.org/officeDocument/2006/relationships/hyperlink" Target="https://drive.google.com/drive/folders/1iUFWqezMUMTNr_K4e4ixW7OQ-peqqc9E?usp=sharing" TargetMode="External"/><Relationship Id="rId356" Type="http://schemas.openxmlformats.org/officeDocument/2006/relationships/hyperlink" Target="http://doi.org/10.1109/ICTS58770.2023.10330829" TargetMode="External"/><Relationship Id="rId598" Type="http://schemas.openxmlformats.org/officeDocument/2006/relationships/hyperlink" Target="https://drive.google.com/open?id=1xNIca2Sf59aPoVCcLXO2sZAs42BhEFu-" TargetMode="External"/><Relationship Id="rId113" Type="http://schemas.openxmlformats.org/officeDocument/2006/relationships/hyperlink" Target="https://doi.org/10.1109/USNC-URSI52151.2023.10238061" TargetMode="External"/><Relationship Id="rId355" Type="http://schemas.openxmlformats.org/officeDocument/2006/relationships/hyperlink" Target="https://drive.google.com/drive/folders/1iUFWqezMUMTNr_K4e4ixW7OQ-peqqc9E?usp=sharing" TargetMode="External"/><Relationship Id="rId597" Type="http://schemas.openxmlformats.org/officeDocument/2006/relationships/hyperlink" Target="https://doi.org/10.24425/ijet.2023.147688" TargetMode="External"/><Relationship Id="rId112" Type="http://schemas.openxmlformats.org/officeDocument/2006/relationships/hyperlink" Target="https://doi.org/10.12688/f1000research.143577.1" TargetMode="External"/><Relationship Id="rId354" Type="http://schemas.openxmlformats.org/officeDocument/2006/relationships/hyperlink" Target="https://doi.org/10.1109/IC3INA60834.2023.10285795" TargetMode="External"/><Relationship Id="rId596" Type="http://schemas.openxmlformats.org/officeDocument/2006/relationships/hyperlink" Target="https://doi.org/10.3390/electronics12010177" TargetMode="External"/><Relationship Id="rId111" Type="http://schemas.openxmlformats.org/officeDocument/2006/relationships/hyperlink" Target="https://f1000research.com/articles/13-256/v1" TargetMode="External"/><Relationship Id="rId353" Type="http://schemas.openxmlformats.org/officeDocument/2006/relationships/hyperlink" Target="https://drive.google.com/drive/folders/1iUFWqezMUMTNr_K4e4ixW7OQ-peqqc9E?usp=sharing" TargetMode="External"/><Relationship Id="rId595" Type="http://schemas.openxmlformats.org/officeDocument/2006/relationships/hyperlink" Target="https://www.scopus.com/record/display.uri?eid=2-s2.0-85145945342&amp;origin=resultslist&amp;sort=plf-f" TargetMode="External"/><Relationship Id="rId305" Type="http://schemas.openxmlformats.org/officeDocument/2006/relationships/hyperlink" Target="https://drive.google.com/drive/folders/1iUFWqezMUMTNr_K4e4ixW7OQ-peqqc9E?usp=sharing" TargetMode="External"/><Relationship Id="rId547" Type="http://schemas.openxmlformats.org/officeDocument/2006/relationships/hyperlink" Target="https://drive.google.com/file/d/1EbJNBXeCol5q2q85Ncy8tvtaqNkLfNK-/view?usp=sharing" TargetMode="External"/><Relationship Id="rId789" Type="http://schemas.openxmlformats.org/officeDocument/2006/relationships/hyperlink" Target="https://doi.org/10.1088/1755-1315/1260/1/012048" TargetMode="External"/><Relationship Id="rId304" Type="http://schemas.openxmlformats.org/officeDocument/2006/relationships/hyperlink" Target="https://drive.google.com/drive/folders/1iUFWqezMUMTNr_K4e4ixW7OQ-peqqc9E?usp=sharing" TargetMode="External"/><Relationship Id="rId546" Type="http://schemas.openxmlformats.org/officeDocument/2006/relationships/hyperlink" Target="https://doi.org/10.1063/5.0181507" TargetMode="External"/><Relationship Id="rId788" Type="http://schemas.openxmlformats.org/officeDocument/2006/relationships/hyperlink" Target="https://doi.org/10.1063/5.0118829" TargetMode="External"/><Relationship Id="rId303" Type="http://schemas.openxmlformats.org/officeDocument/2006/relationships/hyperlink" Target="https://doi.org/10.1109/IC3INA60834.2023.10285757" TargetMode="External"/><Relationship Id="rId545" Type="http://schemas.openxmlformats.org/officeDocument/2006/relationships/hyperlink" Target="https://drive.google.com/file/d/1MjUwRvbMsrtzBWPByu0kGLIWP0dWA6fA/view?usp=sharing" TargetMode="External"/><Relationship Id="rId787" Type="http://schemas.openxmlformats.org/officeDocument/2006/relationships/hyperlink" Target="https://doi.org/10.1063/5.0155609" TargetMode="External"/><Relationship Id="rId302" Type="http://schemas.openxmlformats.org/officeDocument/2006/relationships/hyperlink" Target="https://drive.google.com/drive/folders/1iUFWqezMUMTNr_K4e4ixW7OQ-peqqc9E?usp=sharing" TargetMode="External"/><Relationship Id="rId544" Type="http://schemas.openxmlformats.org/officeDocument/2006/relationships/hyperlink" Target="https://doi.org/10.1063/5.0181504" TargetMode="External"/><Relationship Id="rId786" Type="http://schemas.openxmlformats.org/officeDocument/2006/relationships/hyperlink" Target="https://elektrika.utm.my/index.php/ELEKTRIKA_Journal/article/view/419" TargetMode="External"/><Relationship Id="rId309" Type="http://schemas.openxmlformats.org/officeDocument/2006/relationships/hyperlink" Target="https://drive.google.com/drive/folders/1iUFWqezMUMTNr_K4e4ixW7OQ-peqqc9E?usp=sharing" TargetMode="External"/><Relationship Id="rId308" Type="http://schemas.openxmlformats.org/officeDocument/2006/relationships/hyperlink" Target="https://doi.org/10.1109/IC3INA60834.2023.10285803" TargetMode="External"/><Relationship Id="rId307" Type="http://schemas.openxmlformats.org/officeDocument/2006/relationships/hyperlink" Target="https://drive.google.com/drive/folders/1iUFWqezMUMTNr_K4e4ixW7OQ-peqqc9E?usp=sharing" TargetMode="External"/><Relationship Id="rId549" Type="http://schemas.openxmlformats.org/officeDocument/2006/relationships/hyperlink" Target="https://doi.org/10.31603/ae.9901" TargetMode="External"/><Relationship Id="rId306" Type="http://schemas.openxmlformats.org/officeDocument/2006/relationships/hyperlink" Target="http://doi.org/10.11591/ijece.v14i1.pp819-829" TargetMode="External"/><Relationship Id="rId548" Type="http://schemas.openxmlformats.org/officeDocument/2006/relationships/hyperlink" Target="https://doi.org/10.1063/5.0181460" TargetMode="External"/><Relationship Id="rId781" Type="http://schemas.openxmlformats.org/officeDocument/2006/relationships/hyperlink" Target="https://www.scopus.com/record/display.uri?eid=2-s2.0-85177563408&amp;origin=resultslist" TargetMode="External"/><Relationship Id="rId780" Type="http://schemas.openxmlformats.org/officeDocument/2006/relationships/hyperlink" Target="https://www.scopus.com/record/display.uri?eid=2-s2.0-85175854948&amp;origin=resultslist" TargetMode="External"/><Relationship Id="rId301" Type="http://schemas.openxmlformats.org/officeDocument/2006/relationships/hyperlink" Target="https://doi.org/10.1109/IC3INA60834.2023.10285735" TargetMode="External"/><Relationship Id="rId543" Type="http://schemas.openxmlformats.org/officeDocument/2006/relationships/hyperlink" Target="https://drive.google.com/file/d/1HV3Jm7qIlHeH-lbk73o4ZQ2Gh8E17MJv/view?usp=sharing" TargetMode="External"/><Relationship Id="rId785" Type="http://schemas.openxmlformats.org/officeDocument/2006/relationships/hyperlink" Target="https://www.mdpi.com/2504-477X/7/10/433" TargetMode="External"/><Relationship Id="rId300" Type="http://schemas.openxmlformats.org/officeDocument/2006/relationships/hyperlink" Target="https://drive.google.com/drive/folders/1iUFWqezMUMTNr_K4e4ixW7OQ-peqqc9E?usp=sharing" TargetMode="External"/><Relationship Id="rId542" Type="http://schemas.openxmlformats.org/officeDocument/2006/relationships/hyperlink" Target="https://doi.org/10.1201/9781003436553-9" TargetMode="External"/><Relationship Id="rId784" Type="http://schemas.openxmlformats.org/officeDocument/2006/relationships/hyperlink" Target="https://www.scopus.com/record/display.uri?eid=2-s2.0-85175956791&amp;origin=resultslist" TargetMode="External"/><Relationship Id="rId541" Type="http://schemas.openxmlformats.org/officeDocument/2006/relationships/hyperlink" Target="https://doi.org/10.7717/peerj.14923" TargetMode="External"/><Relationship Id="rId783" Type="http://schemas.openxmlformats.org/officeDocument/2006/relationships/hyperlink" Target="https://www.scopus.com/record/display.uri?eid=2-s2.0-85175984732&amp;origin=resultslist" TargetMode="External"/><Relationship Id="rId540" Type="http://schemas.openxmlformats.org/officeDocument/2006/relationships/hyperlink" Target="https://doi.org/10.1109/IC3INA60834.2023.10285760" TargetMode="External"/><Relationship Id="rId782" Type="http://schemas.openxmlformats.org/officeDocument/2006/relationships/hyperlink" Target="https://www.scopus.com/record/display.uri?eid=2-s2.0-85175328838&amp;origin=resultslist" TargetMode="External"/><Relationship Id="rId536" Type="http://schemas.openxmlformats.org/officeDocument/2006/relationships/hyperlink" Target="https://doi.org/10.1016/j.geog.2022.12.002" TargetMode="External"/><Relationship Id="rId778" Type="http://schemas.openxmlformats.org/officeDocument/2006/relationships/hyperlink" Target="https://www.scopus.com/record/display.uri?eid=2-s2.0-85175983131&amp;origin=resultslist" TargetMode="External"/><Relationship Id="rId535" Type="http://schemas.openxmlformats.org/officeDocument/2006/relationships/hyperlink" Target="https://www.sciencedirect.com/science/article/pii/S1674984723000034" TargetMode="External"/><Relationship Id="rId777" Type="http://schemas.openxmlformats.org/officeDocument/2006/relationships/hyperlink" Target="https://www.scopus.com/record/display.uri?eid=2-s2.0-85175994938&amp;origin=resultslist" TargetMode="External"/><Relationship Id="rId534" Type="http://schemas.openxmlformats.org/officeDocument/2006/relationships/hyperlink" Target="https://doi.org/10.1088/1755-1315/1167/1/012016" TargetMode="External"/><Relationship Id="rId776" Type="http://schemas.openxmlformats.org/officeDocument/2006/relationships/hyperlink" Target="https://www.scopus.com/record/display.uri?eid=2-s2.0-85177479131&amp;origin=resultslist" TargetMode="External"/><Relationship Id="rId533" Type="http://schemas.openxmlformats.org/officeDocument/2006/relationships/hyperlink" Target="https://iopscience.iop.org/article/10.1088/1755-1315/1167/1/012016/pdf" TargetMode="External"/><Relationship Id="rId775" Type="http://schemas.openxmlformats.org/officeDocument/2006/relationships/hyperlink" Target="https://www.scopus.com/record/display.uri?eid=2-s2.0-85177479423&amp;origin=resultslist" TargetMode="External"/><Relationship Id="rId539" Type="http://schemas.openxmlformats.org/officeDocument/2006/relationships/hyperlink" Target="https://ieeexplore.ieee.org/document/10285760" TargetMode="External"/><Relationship Id="rId538" Type="http://schemas.openxmlformats.org/officeDocument/2006/relationships/hyperlink" Target="https://doi.org/10.1109/OETIC57156.2022.10176219" TargetMode="External"/><Relationship Id="rId537" Type="http://schemas.openxmlformats.org/officeDocument/2006/relationships/hyperlink" Target="https://r10.ieee.org/indonesia-oetem/oetic-2022/" TargetMode="External"/><Relationship Id="rId779" Type="http://schemas.openxmlformats.org/officeDocument/2006/relationships/hyperlink" Target="https://www.scopus.com/record/display.uri?eid=2-s2.0-85175952619&amp;origin=resultslist" TargetMode="External"/><Relationship Id="rId770" Type="http://schemas.openxmlformats.org/officeDocument/2006/relationships/hyperlink" Target="https://efsupit.ro/images/stories/aprilie2023/Art108.pdf" TargetMode="External"/><Relationship Id="rId532" Type="http://schemas.openxmlformats.org/officeDocument/2006/relationships/hyperlink" Target="https://doi.org/10.1016/j.biotno.2023.02.002" TargetMode="External"/><Relationship Id="rId774" Type="http://schemas.openxmlformats.org/officeDocument/2006/relationships/hyperlink" Target="https://www.scopus.com/record/display.uri?eid=2-s2.0-85175863721&amp;origin=resultslist" TargetMode="External"/><Relationship Id="rId531" Type="http://schemas.openxmlformats.org/officeDocument/2006/relationships/hyperlink" Target="https://doi.org/10.1088/1674-4527/acf978" TargetMode="External"/><Relationship Id="rId773" Type="http://schemas.openxmlformats.org/officeDocument/2006/relationships/hyperlink" Target="https://www.scopus.com/record/display.uri?eid=2-s2.0-85163100874&amp;origin=resultslist" TargetMode="External"/><Relationship Id="rId530" Type="http://schemas.openxmlformats.org/officeDocument/2006/relationships/hyperlink" Target="https://www.sciencedirect.com/science/article/pii/S0896844623002838" TargetMode="External"/><Relationship Id="rId772" Type="http://schemas.openxmlformats.org/officeDocument/2006/relationships/hyperlink" Target="https://www.scopus.com/record/display.uri?eid=2-s2.0-85177562848&amp;origin=resultslist" TargetMode="External"/><Relationship Id="rId771" Type="http://schemas.openxmlformats.org/officeDocument/2006/relationships/hyperlink" Target="https://www.scopus.com/record/display.uri?eid=2-s2.0-85176387578&amp;origin=resultslist" TargetMode="External"/><Relationship Id="rId327" Type="http://schemas.openxmlformats.org/officeDocument/2006/relationships/hyperlink" Target="https://drive.google.com/drive/folders/1iUFWqezMUMTNr_K4e4ixW7OQ-peqqc9E?usp=sharing" TargetMode="External"/><Relationship Id="rId569" Type="http://schemas.openxmlformats.org/officeDocument/2006/relationships/hyperlink" Target="https://docs.google.com/document/d/1shQ86I5gdwygECXx3rFto_MYq1OYWVYn/edit" TargetMode="External"/><Relationship Id="rId326" Type="http://schemas.openxmlformats.org/officeDocument/2006/relationships/hyperlink" Target="https://doi.org/10.1145/3575882.3575946" TargetMode="External"/><Relationship Id="rId568" Type="http://schemas.openxmlformats.org/officeDocument/2006/relationships/hyperlink" Target="https://drive.google.com/file/d/1zvJUCjK8T7qV5mFXTkwCQpJ9cqK7WTTA/view?usp=sharing" TargetMode="External"/><Relationship Id="rId325" Type="http://schemas.openxmlformats.org/officeDocument/2006/relationships/hyperlink" Target="https://drive.google.com/drive/folders/1iUFWqezMUMTNr_K4e4ixW7OQ-peqqc9E?usp=sharing" TargetMode="External"/><Relationship Id="rId567" Type="http://schemas.openxmlformats.org/officeDocument/2006/relationships/hyperlink" Target="https://drive.google.com/file/d/1ozxokB56xV9PjyOCpSjglan6MMRcZO0q/view?usp=sharing" TargetMode="External"/><Relationship Id="rId324" Type="http://schemas.openxmlformats.org/officeDocument/2006/relationships/hyperlink" Target="https://doi.org/10.7717/peerj.14923" TargetMode="External"/><Relationship Id="rId566" Type="http://schemas.openxmlformats.org/officeDocument/2006/relationships/hyperlink" Target="https://drive.google.com/file/d/1KjyYDtgUg-xtkr5tVpS1tJr6wA2rhfUK/view?usp=sharing" TargetMode="External"/><Relationship Id="rId329" Type="http://schemas.openxmlformats.org/officeDocument/2006/relationships/hyperlink" Target="https://drive.google.com/drive/folders/1iUFWqezMUMTNr_K4e4ixW7OQ-peqqc9E?usp=sharing" TargetMode="External"/><Relationship Id="rId328" Type="http://schemas.openxmlformats.org/officeDocument/2006/relationships/hyperlink" Target="https://doi.org/10.36941/jesr-2023-0031" TargetMode="External"/><Relationship Id="rId561" Type="http://schemas.openxmlformats.org/officeDocument/2006/relationships/hyperlink" Target="https://drive.google.com/file/d/117hYZ2Xoe-4t2eEyDJzTSozp07CAsLfM/view?usp=sharing" TargetMode="External"/><Relationship Id="rId560" Type="http://schemas.openxmlformats.org/officeDocument/2006/relationships/hyperlink" Target="https://drive.google.com/file/d/1oJ-dURZBtkNkiwvsWlmKfGbLWsw3w5Pb/view?usp=sharing" TargetMode="External"/><Relationship Id="rId323" Type="http://schemas.openxmlformats.org/officeDocument/2006/relationships/hyperlink" Target="https://drive.google.com/drive/folders/1iUFWqezMUMTNr_K4e4ixW7OQ-peqqc9E?usp=sharing" TargetMode="External"/><Relationship Id="rId565" Type="http://schemas.openxmlformats.org/officeDocument/2006/relationships/hyperlink" Target="https://drive.google.com/file/d/1R3BiWEKtFU9M8vGkCUzrHXURrLuEil1y/view?usp=sharing" TargetMode="External"/><Relationship Id="rId322" Type="http://schemas.openxmlformats.org/officeDocument/2006/relationships/hyperlink" Target="https://doi.org/10.1109/IC3INA60834.2023.10285733" TargetMode="External"/><Relationship Id="rId564" Type="http://schemas.openxmlformats.org/officeDocument/2006/relationships/hyperlink" Target="https://drive.google.com/file/d/1SVqTBfG932WNJKEAmGlUlaw531YaAmug/view?usp=sharing" TargetMode="External"/><Relationship Id="rId321" Type="http://schemas.openxmlformats.org/officeDocument/2006/relationships/hyperlink" Target="https://drive.google.com/drive/folders/1iUFWqezMUMTNr_K4e4ixW7OQ-peqqc9E?usp=sharing" TargetMode="External"/><Relationship Id="rId563" Type="http://schemas.openxmlformats.org/officeDocument/2006/relationships/hyperlink" Target="https://drive.google.com/file/d/1VbIvuzALLwM_-By3dcMklbez08ZawijK/view?usp=sharing" TargetMode="External"/><Relationship Id="rId320" Type="http://schemas.openxmlformats.org/officeDocument/2006/relationships/hyperlink" Target="https://doi.org/10.1145/3575882.3575921" TargetMode="External"/><Relationship Id="rId562" Type="http://schemas.openxmlformats.org/officeDocument/2006/relationships/hyperlink" Target="https://drive.google.com/file/d/1lVIrmwuSnGF5hgU10IOJ7sMsZWMrWbrq/view?usp=drive_link" TargetMode="External"/><Relationship Id="rId316" Type="http://schemas.openxmlformats.org/officeDocument/2006/relationships/hyperlink" Target="https://drive.google.com/drive/folders/1iUFWqezMUMTNr_K4e4ixW7OQ-peqqc9E?usp=sharing" TargetMode="External"/><Relationship Id="rId558" Type="http://schemas.openxmlformats.org/officeDocument/2006/relationships/hyperlink" Target="https://dtmbiokr.imweb.me/program" TargetMode="External"/><Relationship Id="rId315" Type="http://schemas.openxmlformats.org/officeDocument/2006/relationships/hyperlink" Target="https://drive.google.com/drive/folders/1iUFWqezMUMTNr_K4e4ixW7OQ-peqqc9E?usp=sharing" TargetMode="External"/><Relationship Id="rId557" Type="http://schemas.openxmlformats.org/officeDocument/2006/relationships/hyperlink" Target="https://drive.google.com/file/d/1RBCybgiIca76oF4eTBDFypdMrqREZljm/view?usp=sharing" TargetMode="External"/><Relationship Id="rId799" Type="http://schemas.openxmlformats.org/officeDocument/2006/relationships/hyperlink" Target="https://ieeexplore.ieee.org/document/10366682" TargetMode="External"/><Relationship Id="rId314" Type="http://schemas.openxmlformats.org/officeDocument/2006/relationships/hyperlink" Target="https://doi.org/10.1109/IC3INA60834.2023.10285737" TargetMode="External"/><Relationship Id="rId556" Type="http://schemas.openxmlformats.org/officeDocument/2006/relationships/hyperlink" Target="https://drive.google.com/file/d/1vWNQzfzJAxXyYqmpmcymSQsZC-Po_c8P/view?usp=sharing" TargetMode="External"/><Relationship Id="rId798" Type="http://schemas.openxmlformats.org/officeDocument/2006/relationships/hyperlink" Target="https://ieeexplore.ieee.org/document/10366730" TargetMode="External"/><Relationship Id="rId313" Type="http://schemas.openxmlformats.org/officeDocument/2006/relationships/hyperlink" Target="https://drive.google.com/drive/folders/1iUFWqezMUMTNr_K4e4ixW7OQ-peqqc9E?usp=sharing" TargetMode="External"/><Relationship Id="rId555" Type="http://schemas.openxmlformats.org/officeDocument/2006/relationships/hyperlink" Target="https://scialert.net/abstract/?doi=ajps.2022.597.605" TargetMode="External"/><Relationship Id="rId797" Type="http://schemas.openxmlformats.org/officeDocument/2006/relationships/hyperlink" Target="https://ieeexplore.ieee.org/document/10366759" TargetMode="External"/><Relationship Id="rId319" Type="http://schemas.openxmlformats.org/officeDocument/2006/relationships/hyperlink" Target="https://drive.google.com/drive/folders/1iUFWqezMUMTNr_K4e4ixW7OQ-peqqc9E?usp=sharing" TargetMode="External"/><Relationship Id="rId318" Type="http://schemas.openxmlformats.org/officeDocument/2006/relationships/hyperlink" Target="https://doi.org/10.1145/3575882.3575891" TargetMode="External"/><Relationship Id="rId317" Type="http://schemas.openxmlformats.org/officeDocument/2006/relationships/hyperlink" Target="https://drive.google.com/drive/folders/1iUFWqezMUMTNr_K4e4ixW7OQ-peqqc9E?usp=sharing" TargetMode="External"/><Relationship Id="rId559" Type="http://schemas.openxmlformats.org/officeDocument/2006/relationships/hyperlink" Target="https://drive.google.com/file/d/1jyLD5MfFmaJCqbbeSNNMuqaxFwOBiJOd/view?usp=sharing" TargetMode="External"/><Relationship Id="rId550" Type="http://schemas.openxmlformats.org/officeDocument/2006/relationships/hyperlink" Target="https://www.iahr.org/library/infor?pid=22134" TargetMode="External"/><Relationship Id="rId792" Type="http://schemas.openxmlformats.org/officeDocument/2006/relationships/hyperlink" Target="https://ieeexplore.ieee.org/document/10366648" TargetMode="External"/><Relationship Id="rId791" Type="http://schemas.openxmlformats.org/officeDocument/2006/relationships/hyperlink" Target="https://ieeexplore.ieee.org/document/10366773" TargetMode="External"/><Relationship Id="rId790" Type="http://schemas.openxmlformats.org/officeDocument/2006/relationships/hyperlink" Target="https://doi.org/10.1109/ICCCNT56998.2023.10308171" TargetMode="External"/><Relationship Id="rId312" Type="http://schemas.openxmlformats.org/officeDocument/2006/relationships/hyperlink" Target="https://doi.org/10.1016/j.kjs.2023.02.031" TargetMode="External"/><Relationship Id="rId554" Type="http://schemas.openxmlformats.org/officeDocument/2006/relationships/hyperlink" Target="https://doi.org/10.59277/RoAJ.2023.1-2.01" TargetMode="External"/><Relationship Id="rId796" Type="http://schemas.openxmlformats.org/officeDocument/2006/relationships/hyperlink" Target="https://ieeexplore.ieee.org/document/10366554" TargetMode="External"/><Relationship Id="rId311" Type="http://schemas.openxmlformats.org/officeDocument/2006/relationships/hyperlink" Target="https://drive.google.com/drive/folders/1iUFWqezMUMTNr_K4e4ixW7OQ-peqqc9E?usp=sharing" TargetMode="External"/><Relationship Id="rId553" Type="http://schemas.openxmlformats.org/officeDocument/2006/relationships/hyperlink" Target="http://www.astro.ro/~roaj/33_12/00_contents_33_12.pdf" TargetMode="External"/><Relationship Id="rId795" Type="http://schemas.openxmlformats.org/officeDocument/2006/relationships/hyperlink" Target="https://ieeexplore.ieee.org/document/10366694" TargetMode="External"/><Relationship Id="rId310" Type="http://schemas.openxmlformats.org/officeDocument/2006/relationships/hyperlink" Target="https://doi.org/10.1109/IC3INA60834.2023.10285754" TargetMode="External"/><Relationship Id="rId552" Type="http://schemas.openxmlformats.org/officeDocument/2006/relationships/hyperlink" Target="https://doi.org/10.59277/RoAJ.2023.1-2.04" TargetMode="External"/><Relationship Id="rId794" Type="http://schemas.openxmlformats.org/officeDocument/2006/relationships/hyperlink" Target="https://ieeexplore.ieee.org/document/10366725" TargetMode="External"/><Relationship Id="rId551" Type="http://schemas.openxmlformats.org/officeDocument/2006/relationships/hyperlink" Target="http://www.astro.ro/~roaj/33_12/00_contents_33_12.pdf" TargetMode="External"/><Relationship Id="rId793" Type="http://schemas.openxmlformats.org/officeDocument/2006/relationships/hyperlink" Target="https://ieeexplore.ieee.org/document/10366672" TargetMode="External"/><Relationship Id="rId297" Type="http://schemas.openxmlformats.org/officeDocument/2006/relationships/hyperlink" Target="https://doi.org/10.1109/NISS55057.2022.10085156" TargetMode="External"/><Relationship Id="rId296" Type="http://schemas.openxmlformats.org/officeDocument/2006/relationships/hyperlink" Target="https://drive.google.com/drive/folders/1iUFWqezMUMTNr_K4e4ixW7OQ-peqqc9E?usp=sharing" TargetMode="External"/><Relationship Id="rId295" Type="http://schemas.openxmlformats.org/officeDocument/2006/relationships/hyperlink" Target="https://doi.org/10.1145/3575882.3575944" TargetMode="External"/><Relationship Id="rId294" Type="http://schemas.openxmlformats.org/officeDocument/2006/relationships/hyperlink" Target="https://drive.google.com/drive/folders/1iUFWqezMUMTNr_K4e4ixW7OQ-peqqc9E?usp=sharing" TargetMode="External"/><Relationship Id="rId299" Type="http://schemas.openxmlformats.org/officeDocument/2006/relationships/hyperlink" Target="https://doi.org/10.1109/NISS55057.2022.10085611" TargetMode="External"/><Relationship Id="rId298" Type="http://schemas.openxmlformats.org/officeDocument/2006/relationships/hyperlink" Target="https://drive.google.com/drive/folders/1iUFWqezMUMTNr_K4e4ixW7OQ-peqqc9E?usp=sharing" TargetMode="External"/><Relationship Id="rId271" Type="http://schemas.openxmlformats.org/officeDocument/2006/relationships/hyperlink" Target="https://www.scopus.com/record/display.uri?eid=2-s2.0-85197177470&amp;origin=resultslist" TargetMode="External"/><Relationship Id="rId270" Type="http://schemas.openxmlformats.org/officeDocument/2006/relationships/hyperlink" Target="https://drive.google.com/drive/folders/1iUFWqezMUMTNr_K4e4ixW7OQ-peqqc9E?usp=sharing" TargetMode="External"/><Relationship Id="rId269" Type="http://schemas.openxmlformats.org/officeDocument/2006/relationships/hyperlink" Target="https://doi.org/10.1063/5.0132260" TargetMode="External"/><Relationship Id="rId264" Type="http://schemas.openxmlformats.org/officeDocument/2006/relationships/hyperlink" Target="https://doi.org/10.1088/1361-6528/ac9d3f" TargetMode="External"/><Relationship Id="rId263" Type="http://schemas.openxmlformats.org/officeDocument/2006/relationships/hyperlink" Target="https://drive.google.com/drive/folders/1iUFWqezMUMTNr_K4e4ixW7OQ-peqqc9E?usp=sharing" TargetMode="External"/><Relationship Id="rId262" Type="http://schemas.openxmlformats.org/officeDocument/2006/relationships/hyperlink" Target="https://doi.org/10.4283/JMAG.2023.28.3.251" TargetMode="External"/><Relationship Id="rId261" Type="http://schemas.openxmlformats.org/officeDocument/2006/relationships/hyperlink" Target="https://drive.google.com/drive/folders/1iUFWqezMUMTNr_K4e4ixW7OQ-peqqc9E?usp=sharing" TargetMode="External"/><Relationship Id="rId268" Type="http://schemas.openxmlformats.org/officeDocument/2006/relationships/hyperlink" Target="https://drive.google.com/drive/folders/1iUFWqezMUMTNr_K4e4ixW7OQ-peqqc9E?usp=sharing" TargetMode="External"/><Relationship Id="rId267" Type="http://schemas.openxmlformats.org/officeDocument/2006/relationships/hyperlink" Target="https://doi.org/10.1007/s11042-022-13627-z" TargetMode="External"/><Relationship Id="rId266" Type="http://schemas.openxmlformats.org/officeDocument/2006/relationships/hyperlink" Target="https://drive.google.com/drive/folders/1iUFWqezMUMTNr_K4e4ixW7OQ-peqqc9E?usp=sharing" TargetMode="External"/><Relationship Id="rId265" Type="http://schemas.openxmlformats.org/officeDocument/2006/relationships/hyperlink" Target="http://s.si/" TargetMode="External"/><Relationship Id="rId260" Type="http://schemas.openxmlformats.org/officeDocument/2006/relationships/hyperlink" Target="http://m.sc/" TargetMode="External"/><Relationship Id="rId259" Type="http://schemas.openxmlformats.org/officeDocument/2006/relationships/hyperlink" Target="https://doi.org/10.1109/ICISS59129.2023.10291489" TargetMode="External"/><Relationship Id="rId258" Type="http://schemas.openxmlformats.org/officeDocument/2006/relationships/hyperlink" Target="https://drive.google.com/drive/folders/1iUFWqezMUMTNr_K4e4ixW7OQ-peqqc9E?usp=sharing" TargetMode="External"/><Relationship Id="rId253" Type="http://schemas.openxmlformats.org/officeDocument/2006/relationships/hyperlink" Target="http://doi.org/10.11591/ijai.v13.i2.pp1762-1772" TargetMode="External"/><Relationship Id="rId495" Type="http://schemas.openxmlformats.org/officeDocument/2006/relationships/hyperlink" Target="https://doi.org/10.1088/1755-1315/1127/1/012025" TargetMode="External"/><Relationship Id="rId252" Type="http://schemas.openxmlformats.org/officeDocument/2006/relationships/hyperlink" Target="https://ijai.iaescore.com/index.php/IJAI/article/view/24181" TargetMode="External"/><Relationship Id="rId494" Type="http://schemas.openxmlformats.org/officeDocument/2006/relationships/hyperlink" Target="https://doi.org/10.1109/ISITIA59021.2023.10221186" TargetMode="External"/><Relationship Id="rId251" Type="http://schemas.openxmlformats.org/officeDocument/2006/relationships/hyperlink" Target="https://drive.google.com/drive/folders/1iUFWqezMUMTNr_K4e4ixW7OQ-peqqc9E?usp=sharing" TargetMode="External"/><Relationship Id="rId493" Type="http://schemas.openxmlformats.org/officeDocument/2006/relationships/hyperlink" Target="https://doi.org/10.7494/geom.2023.17.6.129" TargetMode="External"/><Relationship Id="rId250" Type="http://schemas.openxmlformats.org/officeDocument/2006/relationships/hyperlink" Target="http://m.sc/" TargetMode="External"/><Relationship Id="rId492" Type="http://schemas.openxmlformats.org/officeDocument/2006/relationships/hyperlink" Target="https://doi.org/10.1109/IC3INA60834.2023.10285755" TargetMode="External"/><Relationship Id="rId257" Type="http://schemas.openxmlformats.org/officeDocument/2006/relationships/hyperlink" Target="https://doi.org/10.14716/ijtech.v14i7.6714" TargetMode="External"/><Relationship Id="rId499" Type="http://schemas.openxmlformats.org/officeDocument/2006/relationships/hyperlink" Target="https://doi.org/10.1109/IC3INA60834.2023.10285782" TargetMode="External"/><Relationship Id="rId256" Type="http://schemas.openxmlformats.org/officeDocument/2006/relationships/hyperlink" Target="https://www.sciencedirect.com/journal/intelligent-systems-with-applications" TargetMode="External"/><Relationship Id="rId498" Type="http://schemas.openxmlformats.org/officeDocument/2006/relationships/hyperlink" Target="https://drive.google.com/file/d/1NjGuvwU_Xnc5crQXF1qgarOUHWWw0ONL/view?usp=sharing" TargetMode="External"/><Relationship Id="rId255" Type="http://schemas.openxmlformats.org/officeDocument/2006/relationships/hyperlink" Target="http://m.sc/" TargetMode="External"/><Relationship Id="rId497" Type="http://schemas.openxmlformats.org/officeDocument/2006/relationships/hyperlink" Target="https://doi.org/10.1145/3575882.3575914" TargetMode="External"/><Relationship Id="rId254" Type="http://schemas.openxmlformats.org/officeDocument/2006/relationships/hyperlink" Target="https://doi.org/10.1109/ICoDSE59534.2023.10291592" TargetMode="External"/><Relationship Id="rId496" Type="http://schemas.openxmlformats.org/officeDocument/2006/relationships/hyperlink" Target="https://iopscience.iop.org/article/10.1088/1755-1315/1127/1/012025/meta" TargetMode="External"/><Relationship Id="rId293" Type="http://schemas.openxmlformats.org/officeDocument/2006/relationships/hyperlink" Target="http://doi.org/10.11591/ijece.v13i1.pp957-971" TargetMode="External"/><Relationship Id="rId292" Type="http://schemas.openxmlformats.org/officeDocument/2006/relationships/hyperlink" Target="https://drive.google.com/drive/folders/1iUFWqezMUMTNr_K4e4ixW7OQ-peqqc9E?usp=sharing" TargetMode="External"/><Relationship Id="rId291" Type="http://schemas.openxmlformats.org/officeDocument/2006/relationships/hyperlink" Target="https://doi.org/10.1145/3575882.3575956" TargetMode="External"/><Relationship Id="rId290" Type="http://schemas.openxmlformats.org/officeDocument/2006/relationships/hyperlink" Target="https://drive.google.com/drive/folders/1iUFWqezMUMTNr_K4e4ixW7OQ-peqqc9E?usp=sharing" TargetMode="External"/><Relationship Id="rId286" Type="http://schemas.openxmlformats.org/officeDocument/2006/relationships/hyperlink" Target="https://drive.google.com/drive/folders/1iUFWqezMUMTNr_K4e4ixW7OQ-peqqc9E?usp=sharing" TargetMode="External"/><Relationship Id="rId285" Type="http://schemas.openxmlformats.org/officeDocument/2006/relationships/hyperlink" Target="https://doi.org/10.1007/s11063-022-11087-y" TargetMode="External"/><Relationship Id="rId284" Type="http://schemas.openxmlformats.org/officeDocument/2006/relationships/hyperlink" Target="https://drive.google.com/drive/folders/1iUFWqezMUMTNr_K4e4ixW7OQ-peqqc9E?usp=sharing" TargetMode="External"/><Relationship Id="rId283" Type="http://schemas.openxmlformats.org/officeDocument/2006/relationships/hyperlink" Target="https://doi.org/10.1145/3575882.3575946" TargetMode="External"/><Relationship Id="rId289" Type="http://schemas.openxmlformats.org/officeDocument/2006/relationships/hyperlink" Target="https://doi.org/10.1007/978-3-031-34207-3_18" TargetMode="External"/><Relationship Id="rId288" Type="http://schemas.openxmlformats.org/officeDocument/2006/relationships/hyperlink" Target="https://drive.google.com/drive/folders/1iUFWqezMUMTNr_K4e4ixW7OQ-peqqc9E?usp=sharing" TargetMode="External"/><Relationship Id="rId287" Type="http://schemas.openxmlformats.org/officeDocument/2006/relationships/hyperlink" Target="https://doi.org/10.3390/math11132975" TargetMode="External"/><Relationship Id="rId282" Type="http://schemas.openxmlformats.org/officeDocument/2006/relationships/hyperlink" Target="https://drive.google.com/drive/folders/1iUFWqezMUMTNr_K4e4ixW7OQ-peqqc9E?usp=sharing" TargetMode="External"/><Relationship Id="rId281" Type="http://schemas.openxmlformats.org/officeDocument/2006/relationships/hyperlink" Target="https://doi.org/10.1145/3575882.3575940" TargetMode="External"/><Relationship Id="rId280" Type="http://schemas.openxmlformats.org/officeDocument/2006/relationships/hyperlink" Target="https://drive.google.com/drive/folders/1iUFWqezMUMTNr_K4e4ixW7OQ-peqqc9E?usp=sharing" TargetMode="External"/><Relationship Id="rId275" Type="http://schemas.openxmlformats.org/officeDocument/2006/relationships/hyperlink" Target="https://doi.org/10.4081/jphia.2023.2577" TargetMode="External"/><Relationship Id="rId274" Type="http://schemas.openxmlformats.org/officeDocument/2006/relationships/hyperlink" Target="https://drive.google.com/drive/folders/1iUFWqezMUMTNr_K4e4ixW7OQ-peqqc9E?usp=sharing" TargetMode="External"/><Relationship Id="rId273" Type="http://schemas.openxmlformats.org/officeDocument/2006/relationships/hyperlink" Target="https://dx.doi.org/10.22441/sinergi.2023.3.006" TargetMode="External"/><Relationship Id="rId272" Type="http://schemas.openxmlformats.org/officeDocument/2006/relationships/hyperlink" Target="https://doi.org/10.12928/TELKOMNIKA.v22i4.26063" TargetMode="External"/><Relationship Id="rId279" Type="http://schemas.openxmlformats.org/officeDocument/2006/relationships/hyperlink" Target="https://doi.org/10.1002/adts.202300610" TargetMode="External"/><Relationship Id="rId278" Type="http://schemas.openxmlformats.org/officeDocument/2006/relationships/hyperlink" Target="https://doi.org/10.1063/5.0205683" TargetMode="External"/><Relationship Id="rId277" Type="http://schemas.openxmlformats.org/officeDocument/2006/relationships/hyperlink" Target="https://pubs.aip.org/aip/acp/article-abstract/3069/1/020083/3306096/Flank-wear-detection-with-signal-variational-mode?redirectedFrom=PDF" TargetMode="External"/><Relationship Id="rId276" Type="http://schemas.openxmlformats.org/officeDocument/2006/relationships/hyperlink" Target="https://drive.google.com/drive/folders/1iUFWqezMUMTNr_K4e4ixW7OQ-peqqc9E?usp=sharing" TargetMode="External"/><Relationship Id="rId907" Type="http://schemas.openxmlformats.org/officeDocument/2006/relationships/hyperlink" Target="https://doi.org/10.1063/5.0181525" TargetMode="External"/><Relationship Id="rId906" Type="http://schemas.openxmlformats.org/officeDocument/2006/relationships/hyperlink" Target="https://doi.org/10.1007/s11276-023-03557-5" TargetMode="External"/><Relationship Id="rId905" Type="http://schemas.openxmlformats.org/officeDocument/2006/relationships/hyperlink" Target="https://doi.org/10.1007/978-3-031-46784-4_23" TargetMode="External"/><Relationship Id="rId904" Type="http://schemas.openxmlformats.org/officeDocument/2006/relationships/hyperlink" Target="https://doi.org/10.4218/etrij.2022-0446" TargetMode="External"/><Relationship Id="rId909" Type="http://schemas.openxmlformats.org/officeDocument/2006/relationships/hyperlink" Target="https://doi.org/10.1063/5.0181482" TargetMode="External"/><Relationship Id="rId908" Type="http://schemas.openxmlformats.org/officeDocument/2006/relationships/hyperlink" Target="https://doi.org/10.1063/5.0181637" TargetMode="External"/><Relationship Id="rId903" Type="http://schemas.openxmlformats.org/officeDocument/2006/relationships/hyperlink" Target="https://ieeexplore.ieee.org/document/10176218" TargetMode="External"/><Relationship Id="rId902" Type="http://schemas.openxmlformats.org/officeDocument/2006/relationships/hyperlink" Target="https://www.scopus.com/record/display.uri?eid=2-s2.0-85172257376&amp;origin=resultslist&amp;sort=plf-f" TargetMode="External"/><Relationship Id="rId901" Type="http://schemas.openxmlformats.org/officeDocument/2006/relationships/hyperlink" Target="https://www.scopus.com/record/display.uri?eid=2-s2.0-85172342905&amp;origin=resultslist&amp;sort=plf-f" TargetMode="External"/><Relationship Id="rId900" Type="http://schemas.openxmlformats.org/officeDocument/2006/relationships/hyperlink" Target="https://doi.org/10.35842/icostec.v2i1.48" TargetMode="External"/><Relationship Id="rId929" Type="http://schemas.openxmlformats.org/officeDocument/2006/relationships/hyperlink" Target="https://icamimia.id/" TargetMode="External"/><Relationship Id="rId928" Type="http://schemas.openxmlformats.org/officeDocument/2006/relationships/hyperlink" Target="https://drive.google.com/open?id=1E0qoHKSa0jP5eJ0Om6fbj9yPxNSdV65v" TargetMode="External"/><Relationship Id="rId927" Type="http://schemas.openxmlformats.org/officeDocument/2006/relationships/hyperlink" Target="https://drive.google.com/open?id=1cObcGKoMKUU1shct5qrmraY-zi5TQ4xS" TargetMode="External"/><Relationship Id="rId926" Type="http://schemas.openxmlformats.org/officeDocument/2006/relationships/hyperlink" Target="https://drive.google.com/open?id=14h2bC9p-b1IRjBF28C1ec8Cj1Jh7maog" TargetMode="External"/><Relationship Id="rId921" Type="http://schemas.openxmlformats.org/officeDocument/2006/relationships/hyperlink" Target="https://mangul-lab-usc.github.io/ISBRA23/" TargetMode="External"/><Relationship Id="rId920" Type="http://schemas.openxmlformats.org/officeDocument/2006/relationships/hyperlink" Target="https://bidma.cpsc.ucalgary.ca/IEEE-BIBM-2023/" TargetMode="External"/><Relationship Id="rId925" Type="http://schemas.openxmlformats.org/officeDocument/2006/relationships/hyperlink" Target="https://icuw2023.asasijournal.com/" TargetMode="External"/><Relationship Id="rId924" Type="http://schemas.openxmlformats.org/officeDocument/2006/relationships/hyperlink" Target="https://conmedia.umn.ac.id/" TargetMode="External"/><Relationship Id="rId923" Type="http://schemas.openxmlformats.org/officeDocument/2006/relationships/hyperlink" Target="https://iwaiip.umy.ac.id/2023/" TargetMode="External"/><Relationship Id="rId922" Type="http://schemas.openxmlformats.org/officeDocument/2006/relationships/hyperlink" Target="https://conmedia.umn.ac.id/" TargetMode="External"/><Relationship Id="rId918" Type="http://schemas.openxmlformats.org/officeDocument/2006/relationships/hyperlink" Target="https://tssa-conference.org/2023/" TargetMode="External"/><Relationship Id="rId917" Type="http://schemas.openxmlformats.org/officeDocument/2006/relationships/hyperlink" Target="https://icesit.id/" TargetMode="External"/><Relationship Id="rId916" Type="http://schemas.openxmlformats.org/officeDocument/2006/relationships/hyperlink" Target="https://drive.google.com/open?id=1CU8zgBczHBZLcQ558bgFIwked48fkeHW" TargetMode="External"/><Relationship Id="rId915" Type="http://schemas.openxmlformats.org/officeDocument/2006/relationships/hyperlink" Target="https://www.appleacademicpress.com/digital-education-security-readiness-and-technology-enhancement/9781774915202" TargetMode="External"/><Relationship Id="rId919" Type="http://schemas.openxmlformats.org/officeDocument/2006/relationships/hyperlink" Target="https://tssa-conference.org/2023/" TargetMode="External"/><Relationship Id="rId910" Type="http://schemas.openxmlformats.org/officeDocument/2006/relationships/hyperlink" Target="https://methods-x.com/article/S2215-0161(23)00503-4/fulltext" TargetMode="External"/><Relationship Id="rId914" Type="http://schemas.openxmlformats.org/officeDocument/2006/relationships/hyperlink" Target="https://ieeexplore.ieee.org/document/10366687" TargetMode="External"/><Relationship Id="rId913" Type="http://schemas.openxmlformats.org/officeDocument/2006/relationships/hyperlink" Target="https://ieeexplore.ieee.org/document/10366600" TargetMode="External"/><Relationship Id="rId912" Type="http://schemas.openxmlformats.org/officeDocument/2006/relationships/hyperlink" Target="https://ieeexplore.ieee.org/document/10366592" TargetMode="External"/><Relationship Id="rId911" Type="http://schemas.openxmlformats.org/officeDocument/2006/relationships/hyperlink" Target="https://ieeexplore.ieee.org/document/10366541" TargetMode="External"/><Relationship Id="rId629" Type="http://schemas.openxmlformats.org/officeDocument/2006/relationships/hyperlink" Target="https://www.scopus.com/record/display.uri?eid=2-s2.0-85174445804&amp;origin=resultslist&amp;sort=plf-f&amp;src=s&amp;sid=e9b5ed1022cad3285cb45be9bf1d4183&amp;sot=b&amp;sdt=b&amp;s=TITLE-ABS-KEY%28Mapping+the+Literature+of+Artificial+Intelligence+in+Medical+Education%3A+A+Scientometric+Analysis%29&amp;sl=111&amp;sessionSearchId=e9b5ed1022cad3285cb45be9bf1d4183&amp;relpos=0" TargetMode="External"/><Relationship Id="rId624" Type="http://schemas.openxmlformats.org/officeDocument/2006/relationships/hyperlink" Target="https://drive.google.com/open?id=1H16cnkdmEZlrJtbXt_2gq4ywDTeFPc36" TargetMode="External"/><Relationship Id="rId866" Type="http://schemas.openxmlformats.org/officeDocument/2006/relationships/hyperlink" Target="https://doi.org/10.1063/5.0127468" TargetMode="External"/><Relationship Id="rId623" Type="http://schemas.openxmlformats.org/officeDocument/2006/relationships/hyperlink" Target="https://doi.org/10.1109/ICEED59801.2023.10264002" TargetMode="External"/><Relationship Id="rId865" Type="http://schemas.openxmlformats.org/officeDocument/2006/relationships/hyperlink" Target="https://doi.org/10.1109/ICCoSITE57641.2023.10127794" TargetMode="External"/><Relationship Id="rId622" Type="http://schemas.openxmlformats.org/officeDocument/2006/relationships/hyperlink" Target="https://doi.org/10.1049/ell2.13037" TargetMode="External"/><Relationship Id="rId864" Type="http://schemas.openxmlformats.org/officeDocument/2006/relationships/hyperlink" Target="https://doi.org/10.21163/GT_2023.182.10" TargetMode="External"/><Relationship Id="rId621" Type="http://schemas.openxmlformats.org/officeDocument/2006/relationships/hyperlink" Target="https://doi.org/10.4028/p-amgj8y" TargetMode="External"/><Relationship Id="rId863" Type="http://schemas.openxmlformats.org/officeDocument/2006/relationships/hyperlink" Target="https://doi.org/10.1063/5.0121709" TargetMode="External"/><Relationship Id="rId628" Type="http://schemas.openxmlformats.org/officeDocument/2006/relationships/hyperlink" Target="https://doi.org/10.11113/jurnalteknologi.v85.17741" TargetMode="External"/><Relationship Id="rId627" Type="http://schemas.openxmlformats.org/officeDocument/2006/relationships/hyperlink" Target="https://drive.google.com/open?id=1gCzLH1x6KhtGZQlmyZVVFCpj0jxuaGgM" TargetMode="External"/><Relationship Id="rId869" Type="http://schemas.openxmlformats.org/officeDocument/2006/relationships/hyperlink" Target="https://doi.org/10.1007/978-981-19-9768-6_78" TargetMode="External"/><Relationship Id="rId626" Type="http://schemas.openxmlformats.org/officeDocument/2006/relationships/hyperlink" Target="https://drive.google.com/open?id=1PndejuanQGP1sXApl9evtufkFyflRYf2" TargetMode="External"/><Relationship Id="rId868" Type="http://schemas.openxmlformats.org/officeDocument/2006/relationships/hyperlink" Target="https://doi.org/10.11591/ijai.v12.i2.pp610-617" TargetMode="External"/><Relationship Id="rId625" Type="http://schemas.openxmlformats.org/officeDocument/2006/relationships/hyperlink" Target="https://doi.org/10.1016/j.ijleo.2023.170533" TargetMode="External"/><Relationship Id="rId867" Type="http://schemas.openxmlformats.org/officeDocument/2006/relationships/hyperlink" Target="https://doi.org/10.14203/j.mev.2023.v14.35-46" TargetMode="External"/><Relationship Id="rId620" Type="http://schemas.openxmlformats.org/officeDocument/2006/relationships/hyperlink" Target="https://drive.google.com/open?id=117hkkGgh081xcr9fXAssNKa6Fc75JHrx" TargetMode="External"/><Relationship Id="rId862" Type="http://schemas.openxmlformats.org/officeDocument/2006/relationships/hyperlink" Target="https://doi.org/10.1016/j.rsase.2023.101040" TargetMode="External"/><Relationship Id="rId861" Type="http://schemas.openxmlformats.org/officeDocument/2006/relationships/hyperlink" Target="https://doi.org/10.1007/s11063-022-11087-y" TargetMode="External"/><Relationship Id="rId860" Type="http://schemas.openxmlformats.org/officeDocument/2006/relationships/hyperlink" Target="https://doi.org/10.3390/math11132975" TargetMode="External"/><Relationship Id="rId619" Type="http://schemas.openxmlformats.org/officeDocument/2006/relationships/hyperlink" Target="http://doi.org/10.11591/ijece.v13i6.pp6538-6546" TargetMode="External"/><Relationship Id="rId618" Type="http://schemas.openxmlformats.org/officeDocument/2006/relationships/hyperlink" Target="https://drive.google.com/open?id=1Dc55gfVja5MJVtYtSmc67H8DCgEa_260" TargetMode="External"/><Relationship Id="rId613" Type="http://schemas.openxmlformats.org/officeDocument/2006/relationships/hyperlink" Target="https://drive.google.com/open?id=1tRe56efQE5sAB7lVCYKgAgWA6Ms5g6Qc" TargetMode="External"/><Relationship Id="rId855" Type="http://schemas.openxmlformats.org/officeDocument/2006/relationships/hyperlink" Target="https://doi.org/10.1145/3575882.3575931" TargetMode="External"/><Relationship Id="rId612" Type="http://schemas.openxmlformats.org/officeDocument/2006/relationships/hyperlink" Target="https://doi.org/10.1039/d3ra05114e" TargetMode="External"/><Relationship Id="rId854" Type="http://schemas.openxmlformats.org/officeDocument/2006/relationships/hyperlink" Target="https://www.igi-global.com/chapter/public-perception-of-awareness-and-adaptation-of-cryptocurrency-in-brunei-darussalam/321786" TargetMode="External"/><Relationship Id="rId611" Type="http://schemas.openxmlformats.org/officeDocument/2006/relationships/hyperlink" Target="https://doi.org/10.1145/3575882.3575883" TargetMode="External"/><Relationship Id="rId853" Type="http://schemas.openxmlformats.org/officeDocument/2006/relationships/hyperlink" Target="http://dx.doi.org/10.12785/ijcds/130189" TargetMode="External"/><Relationship Id="rId610" Type="http://schemas.openxmlformats.org/officeDocument/2006/relationships/hyperlink" Target="https://doi.org/10.1109/ICITISEE57756.2022.10057605" TargetMode="External"/><Relationship Id="rId852" Type="http://schemas.openxmlformats.org/officeDocument/2006/relationships/hyperlink" Target="https://ieeexplore.ieee.org/document/10055225" TargetMode="External"/><Relationship Id="rId617" Type="http://schemas.openxmlformats.org/officeDocument/2006/relationships/hyperlink" Target="https://doi.org/10.1109/NISS55057.2022.10085323" TargetMode="External"/><Relationship Id="rId859" Type="http://schemas.openxmlformats.org/officeDocument/2006/relationships/hyperlink" Target="https://journal.uob.edu.bh/handle/123456789/4836" TargetMode="External"/><Relationship Id="rId616" Type="http://schemas.openxmlformats.org/officeDocument/2006/relationships/hyperlink" Target="https://doi.org/10.1109/ACCESS.2023.3247604" TargetMode="External"/><Relationship Id="rId858" Type="http://schemas.openxmlformats.org/officeDocument/2006/relationships/hyperlink" Target="https://journal.uob.edu.bh/handle/123456789/4889" TargetMode="External"/><Relationship Id="rId615" Type="http://schemas.openxmlformats.org/officeDocument/2006/relationships/hyperlink" Target="https://drive.google.com/open?id=1XcPbEVUPqjlgJX4I9GQ1nW3X8IER49Gi" TargetMode="External"/><Relationship Id="rId857" Type="http://schemas.openxmlformats.org/officeDocument/2006/relationships/hyperlink" Target="https://journal.uob.edu.bh/handle/123456789/4933" TargetMode="External"/><Relationship Id="rId614" Type="http://schemas.openxmlformats.org/officeDocument/2006/relationships/hyperlink" Target="https://doi.org/10.1038/s41598-023-32167-6" TargetMode="External"/><Relationship Id="rId856" Type="http://schemas.openxmlformats.org/officeDocument/2006/relationships/hyperlink" Target="https://doi.org/10.1142/S0219877023500384" TargetMode="External"/><Relationship Id="rId851" Type="http://schemas.openxmlformats.org/officeDocument/2006/relationships/hyperlink" Target="https://dl.acm.org/doi/10.1145/3575882.3575936" TargetMode="External"/><Relationship Id="rId850" Type="http://schemas.openxmlformats.org/officeDocument/2006/relationships/hyperlink" Target="https://www.scopus.com/record/display.uri?eid=2-s2.0-85151873001&amp;origin=resultslist&amp;sort=plf-f" TargetMode="External"/><Relationship Id="rId409" Type="http://schemas.openxmlformats.org/officeDocument/2006/relationships/hyperlink" Target="https://drive.google.com/drive/folders/1iUFWqezMUMTNr_K4e4ixW7OQ-peqqc9E?usp=sharing" TargetMode="External"/><Relationship Id="rId404" Type="http://schemas.openxmlformats.org/officeDocument/2006/relationships/hyperlink" Target="https://doi.org/10.1109/IC3INA60834.2023.10285781" TargetMode="External"/><Relationship Id="rId646" Type="http://schemas.openxmlformats.org/officeDocument/2006/relationships/hyperlink" Target="https://doi.org/10.1145/3575882.3575884" TargetMode="External"/><Relationship Id="rId888" Type="http://schemas.openxmlformats.org/officeDocument/2006/relationships/hyperlink" Target="https://ieeexplore.ieee.org/document/10285735" TargetMode="External"/><Relationship Id="rId403" Type="http://schemas.openxmlformats.org/officeDocument/2006/relationships/hyperlink" Target="https://drive.google.com/drive/folders/1iUFWqezMUMTNr_K4e4ixW7OQ-peqqc9E?usp=sharing" TargetMode="External"/><Relationship Id="rId645" Type="http://schemas.openxmlformats.org/officeDocument/2006/relationships/hyperlink" Target="https://drive.google.com/open?id=1I299TKr285sw9iNzRgsQVXhW6aAfvh0Y" TargetMode="External"/><Relationship Id="rId887" Type="http://schemas.openxmlformats.org/officeDocument/2006/relationships/hyperlink" Target="https://ieeexplore.ieee.org/document/10285783" TargetMode="External"/><Relationship Id="rId402" Type="http://schemas.openxmlformats.org/officeDocument/2006/relationships/hyperlink" Target="https://doi.org/10.1109/NISS55057.2022.10085620" TargetMode="External"/><Relationship Id="rId644" Type="http://schemas.openxmlformats.org/officeDocument/2006/relationships/hyperlink" Target="https://doi.org/10.1109/ISITIA59021.2023.10221049" TargetMode="External"/><Relationship Id="rId886" Type="http://schemas.openxmlformats.org/officeDocument/2006/relationships/hyperlink" Target="https://ieeexplore.ieee.org/document/10285733" TargetMode="External"/><Relationship Id="rId401" Type="http://schemas.openxmlformats.org/officeDocument/2006/relationships/hyperlink" Target="https://drive.google.com/drive/folders/1iUFWqezMUMTNr_K4e4ixW7OQ-peqqc9E?usp=sharing" TargetMode="External"/><Relationship Id="rId643" Type="http://schemas.openxmlformats.org/officeDocument/2006/relationships/hyperlink" Target="https://doi.org/10.1109/ICSINTESA56431.2022.10041694" TargetMode="External"/><Relationship Id="rId885" Type="http://schemas.openxmlformats.org/officeDocument/2006/relationships/hyperlink" Target="https://ieeexplore.ieee.org/document/10285812" TargetMode="External"/><Relationship Id="rId408" Type="http://schemas.openxmlformats.org/officeDocument/2006/relationships/hyperlink" Target="https://doi.org/10.1109/IC3INA60834.2023.10285739" TargetMode="External"/><Relationship Id="rId407" Type="http://schemas.openxmlformats.org/officeDocument/2006/relationships/hyperlink" Target="https://drive.google.com/drive/folders/1iUFWqezMUMTNr_K4e4ixW7OQ-peqqc9E?usp=sharing" TargetMode="External"/><Relationship Id="rId649" Type="http://schemas.openxmlformats.org/officeDocument/2006/relationships/hyperlink" Target="https://doi.org/10.1016/j.compag.2023.107956" TargetMode="External"/><Relationship Id="rId406" Type="http://schemas.openxmlformats.org/officeDocument/2006/relationships/hyperlink" Target="https://doi.org/10.1109/IC3INA60834.2023.10285749" TargetMode="External"/><Relationship Id="rId648" Type="http://schemas.openxmlformats.org/officeDocument/2006/relationships/hyperlink" Target="https://doi.org/10.22146/ijc.79089" TargetMode="External"/><Relationship Id="rId405" Type="http://schemas.openxmlformats.org/officeDocument/2006/relationships/hyperlink" Target="https://drive.google.com/drive/folders/1iUFWqezMUMTNr_K4e4ixW7OQ-peqqc9E?usp=sharing" TargetMode="External"/><Relationship Id="rId647" Type="http://schemas.openxmlformats.org/officeDocument/2006/relationships/hyperlink" Target="https://doi.org/10.1038/s41467-023-36342-1" TargetMode="External"/><Relationship Id="rId889" Type="http://schemas.openxmlformats.org/officeDocument/2006/relationships/hyperlink" Target="https://ieeexplore.ieee.org/document/10285734" TargetMode="External"/><Relationship Id="rId880" Type="http://schemas.openxmlformats.org/officeDocument/2006/relationships/hyperlink" Target="https://ieeexplore.ieee.org/abstract/document/10249577" TargetMode="External"/><Relationship Id="rId400" Type="http://schemas.openxmlformats.org/officeDocument/2006/relationships/hyperlink" Target="https://drive.google.com/drive/folders/1iUFWqezMUMTNr_K4e4ixW7OQ-peqqc9E?usp=sharing" TargetMode="External"/><Relationship Id="rId642" Type="http://schemas.openxmlformats.org/officeDocument/2006/relationships/hyperlink" Target="https://doi.org/10.1063/5.0161337" TargetMode="External"/><Relationship Id="rId884" Type="http://schemas.openxmlformats.org/officeDocument/2006/relationships/hyperlink" Target="https://ieeexplore.ieee.org/document/10285760" TargetMode="External"/><Relationship Id="rId641" Type="http://schemas.openxmlformats.org/officeDocument/2006/relationships/hyperlink" Target="https://doi.org/10.1109/Metamaterials58257.2023.10289391" TargetMode="External"/><Relationship Id="rId883" Type="http://schemas.openxmlformats.org/officeDocument/2006/relationships/hyperlink" Target="https://ieeexplore.ieee.org/document/10285766" TargetMode="External"/><Relationship Id="rId640" Type="http://schemas.openxmlformats.org/officeDocument/2006/relationships/hyperlink" Target="https://drive.google.com/open?id=1A8EAQXDP5MDyeHduKW06NdFTFOZDjqKO" TargetMode="External"/><Relationship Id="rId882" Type="http://schemas.openxmlformats.org/officeDocument/2006/relationships/hyperlink" Target="https://ieeexplore.ieee.org/document/10285777" TargetMode="External"/><Relationship Id="rId881" Type="http://schemas.openxmlformats.org/officeDocument/2006/relationships/hyperlink" Target="https://iopscience.iop.org/article/10.1088/1742-6596/2596/1/012021/meta" TargetMode="External"/><Relationship Id="rId635" Type="http://schemas.openxmlformats.org/officeDocument/2006/relationships/hyperlink" Target="https://doi.org/10.1109/IC3INA60834.2023.10285790" TargetMode="External"/><Relationship Id="rId877" Type="http://schemas.openxmlformats.org/officeDocument/2006/relationships/hyperlink" Target="https://ieeexplore.ieee.org/document/10285778" TargetMode="External"/><Relationship Id="rId634" Type="http://schemas.openxmlformats.org/officeDocument/2006/relationships/hyperlink" Target="https://doi.org/10.1109/Metamaterials58257.2023.10289290" TargetMode="External"/><Relationship Id="rId876" Type="http://schemas.openxmlformats.org/officeDocument/2006/relationships/hyperlink" Target="https://ieeexplore.ieee.org/document/10250069/authors" TargetMode="External"/><Relationship Id="rId633" Type="http://schemas.openxmlformats.org/officeDocument/2006/relationships/hyperlink" Target="https://drive.google.com/open?id=1hjN1ZIToymzxJgEa4pKa0hhOgaP2b1cy" TargetMode="External"/><Relationship Id="rId875" Type="http://schemas.openxmlformats.org/officeDocument/2006/relationships/hyperlink" Target="https://ieeexplore.ieee.org/document/10249811" TargetMode="External"/><Relationship Id="rId632" Type="http://schemas.openxmlformats.org/officeDocument/2006/relationships/hyperlink" Target="https://doi.org/10.1016/j.aeue.2023.154745" TargetMode="External"/><Relationship Id="rId874" Type="http://schemas.openxmlformats.org/officeDocument/2006/relationships/hyperlink" Target="https://ieeexplore.ieee.org/document/10249325" TargetMode="External"/><Relationship Id="rId639" Type="http://schemas.openxmlformats.org/officeDocument/2006/relationships/hyperlink" Target="https://doi.org/10.1063/5.0136029" TargetMode="External"/><Relationship Id="rId638" Type="http://schemas.openxmlformats.org/officeDocument/2006/relationships/hyperlink" Target="https://doi.org/10.1109/IC3INA60834.2023.10285745" TargetMode="External"/><Relationship Id="rId637" Type="http://schemas.openxmlformats.org/officeDocument/2006/relationships/hyperlink" Target="https://drive.google.com/open?id=1uQoEaVKKOYLTG4bNgM7GIElnKn9OfCqD" TargetMode="External"/><Relationship Id="rId879" Type="http://schemas.openxmlformats.org/officeDocument/2006/relationships/hyperlink" Target="https://ieeexplore.ieee.org/abstract/document/10249341" TargetMode="External"/><Relationship Id="rId636" Type="http://schemas.openxmlformats.org/officeDocument/2006/relationships/hyperlink" Target="https://drive.google.com/open?id=1_nFq-lQUOU7zjJR_XIH117UpedCH78xM" TargetMode="External"/><Relationship Id="rId878" Type="http://schemas.openxmlformats.org/officeDocument/2006/relationships/hyperlink" Target="https://doi.org/10.1088/1755-1315/1245/1/012031" TargetMode="External"/><Relationship Id="rId631" Type="http://schemas.openxmlformats.org/officeDocument/2006/relationships/hyperlink" Target="https://doi.org/10.1088/1361-6463/ac9b67" TargetMode="External"/><Relationship Id="rId873" Type="http://schemas.openxmlformats.org/officeDocument/2006/relationships/hyperlink" Target="https://journal.uob.edu.bh/handle/123456789/5175" TargetMode="External"/><Relationship Id="rId630" Type="http://schemas.openxmlformats.org/officeDocument/2006/relationships/hyperlink" Target="https://iopscience.iop.org/article/10.1088/1361-6463/ac9b67" TargetMode="External"/><Relationship Id="rId872" Type="http://schemas.openxmlformats.org/officeDocument/2006/relationships/hyperlink" Target="https://doi.org/10.1007/978-981-19-9768-6_77" TargetMode="External"/><Relationship Id="rId871" Type="http://schemas.openxmlformats.org/officeDocument/2006/relationships/hyperlink" Target="https://doi.org/10.1007/978-981-19-9768-6_74" TargetMode="External"/><Relationship Id="rId870" Type="http://schemas.openxmlformats.org/officeDocument/2006/relationships/hyperlink" Target="https://doi.org/10.1007/978-981-19-9768-6_68" TargetMode="External"/><Relationship Id="rId829" Type="http://schemas.openxmlformats.org/officeDocument/2006/relationships/hyperlink" Target="https://www.igi-global.com/chapter/learning-management-systems-education-technology-advancement-successes-adoption-of-delone-mclean-model-approaches/314263" TargetMode="External"/><Relationship Id="rId828" Type="http://schemas.openxmlformats.org/officeDocument/2006/relationships/hyperlink" Target="https://www.igi-global.com/chapter/reengineering-digital-education-integrated-online-and-traditional-learning-shifting-paradigm-of-blended-learning-in-time-and-post-pandemic-covid-19/314275" TargetMode="External"/><Relationship Id="rId827" Type="http://schemas.openxmlformats.org/officeDocument/2006/relationships/hyperlink" Target="https://www.igi-global.com/chapter/artificial-intelligence-blockchain-framework-cyberthreat-defenses-of-resilient-digital-ecosystems/314438" TargetMode="External"/><Relationship Id="rId822" Type="http://schemas.openxmlformats.org/officeDocument/2006/relationships/hyperlink" Target="https://www.scopus.com/record/display.uri?eid=2-s2.0-85149366108&amp;origin=resultslist&amp;sort=plf-f&amp;src=s&amp;st1=Image+Segmentation+for+Aspergillus%2c+Cladosporium%2c+and+Trichoderma+Fungus&amp;sid=b920b2df789d138d32fb73242eefbab1&amp;sot=b&amp;sdt=b&amp;sl=87&amp;s=TITLE-ABS-KEY%28Image+Segmentation+for+Aspergillus%2c+Cladosporium%2c+and+Trichoderma+Fungus%29&amp;relpos=0&amp;citeCnt=0&amp;searchTerm=" TargetMode="External"/><Relationship Id="rId821" Type="http://schemas.openxmlformats.org/officeDocument/2006/relationships/hyperlink" Target="https://www.scopus.com/record/display.uri?eid=2-s2.0-85149360879&amp;origin=resultslist&amp;sort=plf-f&amp;src=s&amp;st1=Performance+Face+Image+Quality+Assessment+under+the+Difference+of+Illumination+Directions+in+Face+Recognition+System+using+FaceQnet%2c+SDD-FIQA%2c+and+SER-FIQ&amp;sid=1373a4468a13e41c38bc1985bc03e66d&amp;sot=b&amp;sdt=b&amp;sl=169&amp;s=TITLE-ABS-KEY%28Performance+Face+Image+Quality+Assessment+under+the+Difference+of+Illumination+Directions+in+Face+Recognition+System+using+FaceQnet%2c+SDD-FIQA%2c+and+SER-FIQ%29&amp;relpos=0&amp;citeCnt=0&amp;searchTerm=" TargetMode="External"/><Relationship Id="rId820" Type="http://schemas.openxmlformats.org/officeDocument/2006/relationships/hyperlink" Target="https://www.scopus.com/record/display.uri?eid=2-s2.0-85147352029&amp;origin=resultslist&amp;sort=plf-f" TargetMode="External"/><Relationship Id="rId826" Type="http://schemas.openxmlformats.org/officeDocument/2006/relationships/hyperlink" Target="https://www.igi-global.com/chapter/addressing-the-research-gap-on-the-effects-of-employee-performance-on-implementation-of-tqm-from-the-perspective-of-working-mothers/314802" TargetMode="External"/><Relationship Id="rId825" Type="http://schemas.openxmlformats.org/officeDocument/2006/relationships/hyperlink" Target="https://www.igi-global.com/chapter/managing-information-system-risk-audit/316805" TargetMode="External"/><Relationship Id="rId824" Type="http://schemas.openxmlformats.org/officeDocument/2006/relationships/hyperlink" Target="https://www.igi-global.com/chapter/innovative-technology-adoption-of-cross-border-runners-as-a-trusted-service-of-information-preservation/316814" TargetMode="External"/><Relationship Id="rId823" Type="http://schemas.openxmlformats.org/officeDocument/2006/relationships/hyperlink" Target="https://www.scopus.com/record/display.uri?eid=2-s2.0-85150458501&amp;origin=resultslist&amp;sort=plf-f&amp;src=s&amp;st1=Designing+An+Ecosystem+Model+for+E-Government+Ontology+Development+Using+Ecosystem+Pie+Model&amp;sid=bdcfff92f3437de386fe3eca06812cfd&amp;sot=b&amp;sdt=b&amp;sl=107&amp;s=TITLE-ABS-KEY%28Designing+An+Ecosystem+Model+for+E-Government+Ontology+Development+Using+Ecosystem+Pie+Model%29&amp;relpos=0&amp;citeCnt=0&amp;searchTerm=" TargetMode="External"/><Relationship Id="rId819" Type="http://schemas.openxmlformats.org/officeDocument/2006/relationships/hyperlink" Target="https://www.scopus.com/record/display.uri?eid=2-s2.0-85147352029&amp;origin=resultslist&amp;sort=plf-f" TargetMode="External"/><Relationship Id="rId818" Type="http://schemas.openxmlformats.org/officeDocument/2006/relationships/hyperlink" Target="https://www.scopus.com/record/display.uri?eid=2-s2.0-85137548033&amp;origin=resultslist&amp;sort=plf-f" TargetMode="External"/><Relationship Id="rId817" Type="http://schemas.openxmlformats.org/officeDocument/2006/relationships/hyperlink" Target="https://www.scopus.com/record/display.uri?eid=2-s2.0-85149932199&amp;origin=resultslist&amp;sort=plf-f" TargetMode="External"/><Relationship Id="rId816" Type="http://schemas.openxmlformats.org/officeDocument/2006/relationships/hyperlink" Target="https://www.scopus.com/record/display.uri?eid=2-s2.0-85149955664&amp;origin=resultslist&amp;sort=plf-f" TargetMode="External"/><Relationship Id="rId811" Type="http://schemas.openxmlformats.org/officeDocument/2006/relationships/hyperlink" Target="https://iciss.goesmart.id/" TargetMode="External"/><Relationship Id="rId810" Type="http://schemas.openxmlformats.org/officeDocument/2006/relationships/hyperlink" Target="https://conference.brin.go.id/icfas2023/" TargetMode="External"/><Relationship Id="rId815" Type="http://schemas.openxmlformats.org/officeDocument/2006/relationships/hyperlink" Target="https://www.scopus.com/record/display.uri?eid=2-s2.0-85149988475&amp;origin=resultslist&amp;sort=plf-f" TargetMode="External"/><Relationship Id="rId814" Type="http://schemas.openxmlformats.org/officeDocument/2006/relationships/hyperlink" Target="https://conference.brin.go.id/icramet2023/" TargetMode="External"/><Relationship Id="rId813" Type="http://schemas.openxmlformats.org/officeDocument/2006/relationships/hyperlink" Target="https://drive.google.com/open?id=1hUhJUYhHN-RpGawH6rLIo5ZZq37rWQR4" TargetMode="External"/><Relationship Id="rId812" Type="http://schemas.openxmlformats.org/officeDocument/2006/relationships/hyperlink" Target="https://drive.google.com/open?id=19Fy2Y2ruFrqfZkm4DJ1Gq0vVoQ3iuAjl" TargetMode="External"/><Relationship Id="rId609" Type="http://schemas.openxmlformats.org/officeDocument/2006/relationships/hyperlink" Target="https://doi.org/10.1007/s10854-023-10890-0" TargetMode="External"/><Relationship Id="rId608" Type="http://schemas.openxmlformats.org/officeDocument/2006/relationships/hyperlink" Target="https://ieeexplore.ieee.org/document/10249346" TargetMode="External"/><Relationship Id="rId607" Type="http://schemas.openxmlformats.org/officeDocument/2006/relationships/hyperlink" Target="https://doi.org/10.1109/ICITRI59340.2023.10249346" TargetMode="External"/><Relationship Id="rId849" Type="http://schemas.openxmlformats.org/officeDocument/2006/relationships/hyperlink" Target="https://doi.org/10.3390/su15086519" TargetMode="External"/><Relationship Id="rId602" Type="http://schemas.openxmlformats.org/officeDocument/2006/relationships/hyperlink" Target="https://doi.org/10.1063/5.0167094" TargetMode="External"/><Relationship Id="rId844" Type="http://schemas.openxmlformats.org/officeDocument/2006/relationships/hyperlink" Target="https://doi.org/10.1145/3575882.3575891" TargetMode="External"/><Relationship Id="rId601" Type="http://schemas.openxmlformats.org/officeDocument/2006/relationships/hyperlink" Target="https://doi.org/10.1109/ISRITI56927.2022.10052978" TargetMode="External"/><Relationship Id="rId843" Type="http://schemas.openxmlformats.org/officeDocument/2006/relationships/hyperlink" Target="https://doi.org/10.1109/ICITISEE57756.2022.10057916" TargetMode="External"/><Relationship Id="rId600" Type="http://schemas.openxmlformats.org/officeDocument/2006/relationships/hyperlink" Target="https://doi.org/10.1590/fst.112422" TargetMode="External"/><Relationship Id="rId842" Type="http://schemas.openxmlformats.org/officeDocument/2006/relationships/hyperlink" Target="https://dl.acm.org/doi/10.1145/3575882.3575907" TargetMode="External"/><Relationship Id="rId841" Type="http://schemas.openxmlformats.org/officeDocument/2006/relationships/hyperlink" Target="https://doi.org/10.1109/ICRAMET56917.2022.9991236" TargetMode="External"/><Relationship Id="rId606" Type="http://schemas.openxmlformats.org/officeDocument/2006/relationships/hyperlink" Target="https://doi.org/10.2528/PIERM22110409" TargetMode="External"/><Relationship Id="rId848" Type="http://schemas.openxmlformats.org/officeDocument/2006/relationships/hyperlink" Target="http://doi.org/10.1109/NISS55057.2022.10085296" TargetMode="External"/><Relationship Id="rId605" Type="http://schemas.openxmlformats.org/officeDocument/2006/relationships/hyperlink" Target="https://doi.org/10.1109/ICE3IS56585.2022.10010203" TargetMode="External"/><Relationship Id="rId847" Type="http://schemas.openxmlformats.org/officeDocument/2006/relationships/hyperlink" Target="https://doi.org/10.1145/3575882.3575922" TargetMode="External"/><Relationship Id="rId604" Type="http://schemas.openxmlformats.org/officeDocument/2006/relationships/hyperlink" Target="https://doi.org/10.1002/pssa.202200718" TargetMode="External"/><Relationship Id="rId846" Type="http://schemas.openxmlformats.org/officeDocument/2006/relationships/hyperlink" Target="https://doi.org/10.1145/3575882.3575926" TargetMode="External"/><Relationship Id="rId603" Type="http://schemas.openxmlformats.org/officeDocument/2006/relationships/hyperlink" Target="https://doi.org/10.1109/Metamaterials58257.2023.10289573" TargetMode="External"/><Relationship Id="rId845" Type="http://schemas.openxmlformats.org/officeDocument/2006/relationships/hyperlink" Target="http://doi.org/10.7717/peerj.14923" TargetMode="External"/><Relationship Id="rId840" Type="http://schemas.openxmlformats.org/officeDocument/2006/relationships/hyperlink" Target="https://doi.org/10.1145/3575882.3575909" TargetMode="External"/><Relationship Id="rId839" Type="http://schemas.openxmlformats.org/officeDocument/2006/relationships/hyperlink" Target="https://ieeexplore.ieee.org/document/9991200" TargetMode="External"/><Relationship Id="rId838" Type="http://schemas.openxmlformats.org/officeDocument/2006/relationships/hyperlink" Target="https://doi.org/10.1145/3575882.3575902" TargetMode="External"/><Relationship Id="rId833" Type="http://schemas.openxmlformats.org/officeDocument/2006/relationships/hyperlink" Target="https://ieeexplore.ieee.org/abstract/document/9980734" TargetMode="External"/><Relationship Id="rId832" Type="http://schemas.openxmlformats.org/officeDocument/2006/relationships/hyperlink" Target="https://www.scopus.com/record/display.uri?eid=2-s2.0-85149421851&amp;origin=resultslist&amp;sort=plf-f&amp;src=s&amp;st1=ic3ina&amp;nlo=&amp;nlr=&amp;nls=&amp;sid=c7dca33ffad147620d40eb6981071c08&amp;sot=b&amp;sdt=sisr&amp;sl=12&amp;s=CONF%28ic3ina%29&amp;ref=%28Accelerating+Encrypted+Watermarking+using+Wavelet+Transform+and+CKKS+Homomorphic+Encryption%29&amp;relpos=0&amp;citeCnt=0&amp;searchTerm=" TargetMode="External"/><Relationship Id="rId831" Type="http://schemas.openxmlformats.org/officeDocument/2006/relationships/hyperlink" Target="https://www.scopus.com/record/display.uri?eid=2-s2.0-85149411642&amp;origin=resultslist&amp;sort=plf-f&amp;src=s&amp;st1=ic3ina&amp;nlo=&amp;nlr=&amp;nls=&amp;sid=47f52d088affb2f8e751fa8ebc992ec4&amp;sot=b&amp;sdt=sisr&amp;sl=12&amp;s=CONF%28ic3ina%29&amp;ref=%28QoS+Analysis+of+Site-to-Site+VPN+and+Its+Integration+Potential+for+Securing+Communication+on+Electric+Vehicles%29&amp;relpos=0&amp;citeCnt=0&amp;searchTerm=" TargetMode="External"/><Relationship Id="rId830" Type="http://schemas.openxmlformats.org/officeDocument/2006/relationships/hyperlink" Target="https://www.igi-global.com/chapter/digital-education-learning-management-systems/314255" TargetMode="External"/><Relationship Id="rId837" Type="http://schemas.openxmlformats.org/officeDocument/2006/relationships/hyperlink" Target="https://doi.org/10.1145/3575882.3575940" TargetMode="External"/><Relationship Id="rId836" Type="http://schemas.openxmlformats.org/officeDocument/2006/relationships/hyperlink" Target="https://doi.org/10.1145/3575882.3575918" TargetMode="External"/><Relationship Id="rId835" Type="http://schemas.openxmlformats.org/officeDocument/2006/relationships/hyperlink" Target="https://doi.org/10.1145/3575882.3575903" TargetMode="External"/><Relationship Id="rId834" Type="http://schemas.openxmlformats.org/officeDocument/2006/relationships/hyperlink" Target="https://www.scopus.com/record/display.uri?eid=2-s2.0-85150451762&amp;origin=resultslist&amp;sort=plf-f&amp;src=s&amp;st1=ICITISEE&amp;nlo=&amp;nlr=&amp;nls=&amp;sid=c31ecd1694261aeee9d58d9fdf7a6ecd&amp;sot=b&amp;sdt=sisr&amp;sl=14&amp;s=CONF%28ICITISEE%29&amp;ref=%28Face+Presentation+Attack+Detection+using+Color+Spaces+Features+and+Convolutional+Neural+Network%29&amp;relpos=0&amp;citeCnt=0&amp;searchTerm=" TargetMode="External"/><Relationship Id="rId228" Type="http://schemas.openxmlformats.org/officeDocument/2006/relationships/hyperlink" Target="https://drive.google.com/drive/folders/1iUFWqezMUMTNr_K4e4ixW7OQ-peqqc9E?usp=sharing" TargetMode="External"/><Relationship Id="rId227" Type="http://schemas.openxmlformats.org/officeDocument/2006/relationships/hyperlink" Target="http://m.sc/" TargetMode="External"/><Relationship Id="rId469" Type="http://schemas.openxmlformats.org/officeDocument/2006/relationships/hyperlink" Target="https://drive.google.com/drive/folders/1iUFWqezMUMTNr_K4e4ixW7OQ-peqqc9E?usp=sharing" TargetMode="External"/><Relationship Id="rId226" Type="http://schemas.openxmlformats.org/officeDocument/2006/relationships/hyperlink" Target="http://m.sc/" TargetMode="External"/><Relationship Id="rId468" Type="http://schemas.openxmlformats.org/officeDocument/2006/relationships/hyperlink" Target="https://drive.google.com/drive/folders/1iUFWqezMUMTNr_K4e4ixW7OQ-peqqc9E?usp=sharing" TargetMode="External"/><Relationship Id="rId225" Type="http://schemas.openxmlformats.org/officeDocument/2006/relationships/hyperlink" Target="https://drive.google.com/drive/folders/1iUFWqezMUMTNr_K4e4ixW7OQ-peqqc9E?usp=sharing" TargetMode="External"/><Relationship Id="rId467" Type="http://schemas.openxmlformats.org/officeDocument/2006/relationships/hyperlink" Target="https://doi.org/10.1080/23311975.2023.2183565" TargetMode="External"/><Relationship Id="rId229" Type="http://schemas.openxmlformats.org/officeDocument/2006/relationships/hyperlink" Target="https://doi.org/10.14716/ijtech.v14i7.6714" TargetMode="External"/><Relationship Id="rId220" Type="http://schemas.openxmlformats.org/officeDocument/2006/relationships/hyperlink" Target="https://drive.google.com/drive/folders/1iUFWqezMUMTNr_K4e4ixW7OQ-peqqc9E?usp=sharing" TargetMode="External"/><Relationship Id="rId462" Type="http://schemas.openxmlformats.org/officeDocument/2006/relationships/hyperlink" Target="https://drive.google.com/drive/folders/1iUFWqezMUMTNr_K4e4ixW7OQ-peqqc9E?usp=sharing" TargetMode="External"/><Relationship Id="rId461" Type="http://schemas.openxmlformats.org/officeDocument/2006/relationships/hyperlink" Target="https://doi.org/10.1038/s41598-022-25570-y" TargetMode="External"/><Relationship Id="rId460" Type="http://schemas.openxmlformats.org/officeDocument/2006/relationships/hyperlink" Target="https://drive.google.com/drive/folders/1iUFWqezMUMTNr_K4e4ixW7OQ-peqqc9E?usp=sharing" TargetMode="External"/><Relationship Id="rId224" Type="http://schemas.openxmlformats.org/officeDocument/2006/relationships/hyperlink" Target="https://doi.org/10.1007/s40860-023-00214-8" TargetMode="External"/><Relationship Id="rId466" Type="http://schemas.openxmlformats.org/officeDocument/2006/relationships/hyperlink" Target="https://drive.google.com/drive/folders/1iUFWqezMUMTNr_K4e4ixW7OQ-peqqc9E?usp=sharing" TargetMode="External"/><Relationship Id="rId223" Type="http://schemas.openxmlformats.org/officeDocument/2006/relationships/hyperlink" Target="https://drive.google.com/drive/folders/1iUFWqezMUMTNr_K4e4ixW7OQ-peqqc9E?usp=sharing" TargetMode="External"/><Relationship Id="rId465" Type="http://schemas.openxmlformats.org/officeDocument/2006/relationships/hyperlink" Target="http://doi.org/10.11591/ijeecs.v30.i2.pp1120-1127" TargetMode="External"/><Relationship Id="rId222" Type="http://schemas.openxmlformats.org/officeDocument/2006/relationships/hyperlink" Target="https://doi.org/10.20473/jisebi.10.2.270-289" TargetMode="External"/><Relationship Id="rId464" Type="http://schemas.openxmlformats.org/officeDocument/2006/relationships/hyperlink" Target="https://drive.google.com/drive/folders/1iUFWqezMUMTNr_K4e4ixW7OQ-peqqc9E?usp=sharing" TargetMode="External"/><Relationship Id="rId221" Type="http://schemas.openxmlformats.org/officeDocument/2006/relationships/hyperlink" Target="https://e-journal.unair.ac.id/JISEBI/article/view/54976" TargetMode="External"/><Relationship Id="rId463" Type="http://schemas.openxmlformats.org/officeDocument/2006/relationships/hyperlink" Target="https://www.scopus.com/authid/detail.uri?authorId=57190489490" TargetMode="External"/><Relationship Id="rId217" Type="http://schemas.openxmlformats.org/officeDocument/2006/relationships/hyperlink" Target="https://jsi.cs.ui.ac.id/index.php/jsi/article/view/1377" TargetMode="External"/><Relationship Id="rId459" Type="http://schemas.openxmlformats.org/officeDocument/2006/relationships/hyperlink" Target="https://doi.org/10.1016/j.jksuci.2023.03.015" TargetMode="External"/><Relationship Id="rId216" Type="http://schemas.openxmlformats.org/officeDocument/2006/relationships/hyperlink" Target="https://drive.google.com/drive/folders/1iUFWqezMUMTNr_K4e4ixW7OQ-peqqc9E?usp=sharing" TargetMode="External"/><Relationship Id="rId458" Type="http://schemas.openxmlformats.org/officeDocument/2006/relationships/hyperlink" Target="https://drive.google.com/drive/folders/1iUFWqezMUMTNr_K4e4ixW7OQ-peqqc9E?usp=sharing" TargetMode="External"/><Relationship Id="rId215" Type="http://schemas.openxmlformats.org/officeDocument/2006/relationships/hyperlink" Target="https://doi.org/10.1109/ICRAMET60171.2023.10366642" TargetMode="External"/><Relationship Id="rId457" Type="http://schemas.openxmlformats.org/officeDocument/2006/relationships/hyperlink" Target="https://doi.org/10.1007/s11192-022-04567-4" TargetMode="External"/><Relationship Id="rId699" Type="http://schemas.openxmlformats.org/officeDocument/2006/relationships/hyperlink" Target="https://drive.google.com/open?id=1eCmna7Qrwlg-OyQab8h3lb89SzPMZpDj" TargetMode="External"/><Relationship Id="rId214" Type="http://schemas.openxmlformats.org/officeDocument/2006/relationships/hyperlink" Target="https://reputasipublikasi.brin.go.id/dashboard?option=judul&amp;keyword=MIGRATION+LETTERS&amp;key=9941f869-fb6f-4a6a-a2c5-321985ab7206&amp;tahun=2022" TargetMode="External"/><Relationship Id="rId456" Type="http://schemas.openxmlformats.org/officeDocument/2006/relationships/hyperlink" Target="https://drive.google.com/drive/folders/1iUFWqezMUMTNr_K4e4ixW7OQ-peqqc9E?usp=sharing" TargetMode="External"/><Relationship Id="rId698" Type="http://schemas.openxmlformats.org/officeDocument/2006/relationships/hyperlink" Target="https://islandpress.org/books/hazardous-seas%20%20Ebook:%20ISBN:%209781642831641%20%20Paperback:%20ISBN:%209781642831634" TargetMode="External"/><Relationship Id="rId219" Type="http://schemas.openxmlformats.org/officeDocument/2006/relationships/hyperlink" Target="https://doi.org/10.1109/ICRAMET60171.2023.10366648" TargetMode="External"/><Relationship Id="rId218" Type="http://schemas.openxmlformats.org/officeDocument/2006/relationships/hyperlink" Target="https://doi.org/10.21609/jsi.v20i1.1377" TargetMode="External"/><Relationship Id="rId451" Type="http://schemas.openxmlformats.org/officeDocument/2006/relationships/hyperlink" Target="https://doi.org/10.1109/IC3INA60834.2023.10285805" TargetMode="External"/><Relationship Id="rId693" Type="http://schemas.openxmlformats.org/officeDocument/2006/relationships/hyperlink" Target="https://doi.org/10.1109/ICRAMET60171.2023.10366683" TargetMode="External"/><Relationship Id="rId450" Type="http://schemas.openxmlformats.org/officeDocument/2006/relationships/hyperlink" Target="https://drive.google.com/drive/folders/1iUFWqezMUMTNr_K4e4ixW7OQ-peqqc9E?usp=sharing" TargetMode="External"/><Relationship Id="rId692" Type="http://schemas.openxmlformats.org/officeDocument/2006/relationships/hyperlink" Target="https://doi.org/10.1109/ICRAMET60171.2023.10366645" TargetMode="External"/><Relationship Id="rId691" Type="http://schemas.openxmlformats.org/officeDocument/2006/relationships/hyperlink" Target="https://conference.brin.go.id/icramet2023/" TargetMode="External"/><Relationship Id="rId690" Type="http://schemas.openxmlformats.org/officeDocument/2006/relationships/hyperlink" Target="https://doi.org/10.1109/ICRAMET60171.2023.10366758" TargetMode="External"/><Relationship Id="rId213" Type="http://schemas.openxmlformats.org/officeDocument/2006/relationships/hyperlink" Target="https://migrationletters.com/index.php/ml/article/view/8983/5826" TargetMode="External"/><Relationship Id="rId455" Type="http://schemas.openxmlformats.org/officeDocument/2006/relationships/hyperlink" Target="https://doi.org/10.1016/j.dib.2023.109890" TargetMode="External"/><Relationship Id="rId697" Type="http://schemas.openxmlformats.org/officeDocument/2006/relationships/hyperlink" Target="https://icitisee.amikompurwokerto.ac.id/" TargetMode="External"/><Relationship Id="rId212" Type="http://schemas.openxmlformats.org/officeDocument/2006/relationships/hyperlink" Target="https://drive.google.com/drive/folders/1iUFWqezMUMTNr_K4e4ixW7OQ-peqqc9E?usp=sharing" TargetMode="External"/><Relationship Id="rId454" Type="http://schemas.openxmlformats.org/officeDocument/2006/relationships/hyperlink" Target="https://drive.google.com/drive/folders/1iUFWqezMUMTNr_K4e4ixW7OQ-peqqc9E?usp=sharing" TargetMode="External"/><Relationship Id="rId696" Type="http://schemas.openxmlformats.org/officeDocument/2006/relationships/hyperlink" Target="https://drive.google.com/drive/folders/16z-DqCiZOnH6awkalGfdNDjrELEzFUuS?usp=sharing" TargetMode="External"/><Relationship Id="rId211" Type="http://schemas.openxmlformats.org/officeDocument/2006/relationships/hyperlink" Target="https://doi.org/10.1109/ICRAMET60171.2023.10366551" TargetMode="External"/><Relationship Id="rId453" Type="http://schemas.openxmlformats.org/officeDocument/2006/relationships/hyperlink" Target="https://doi.org/10.1109/IC3INA60834.2023.10285777" TargetMode="External"/><Relationship Id="rId695" Type="http://schemas.openxmlformats.org/officeDocument/2006/relationships/hyperlink" Target="https://doi.org/10.1109/ICRAMET60171.2023.10366780" TargetMode="External"/><Relationship Id="rId210" Type="http://schemas.openxmlformats.org/officeDocument/2006/relationships/hyperlink" Target="https://doi.org/10.25126/jtiik.20241127404" TargetMode="External"/><Relationship Id="rId452" Type="http://schemas.openxmlformats.org/officeDocument/2006/relationships/hyperlink" Target="https://drive.google.com/drive/folders/1iUFWqezMUMTNr_K4e4ixW7OQ-peqqc9E?usp=sharing" TargetMode="External"/><Relationship Id="rId694" Type="http://schemas.openxmlformats.org/officeDocument/2006/relationships/hyperlink" Target="https://drive.google.com/open?id=1AjWVgd7qKSS7H-zry5EsnT2mChf3FFJv" TargetMode="External"/><Relationship Id="rId491" Type="http://schemas.openxmlformats.org/officeDocument/2006/relationships/hyperlink" Target="https://doi.org/10.1142/S2047684123500410" TargetMode="External"/><Relationship Id="rId490" Type="http://schemas.openxmlformats.org/officeDocument/2006/relationships/hyperlink" Target="https://www.worldscientific.com/doi/10.1142/S2047684123500410" TargetMode="External"/><Relationship Id="rId249" Type="http://schemas.openxmlformats.org/officeDocument/2006/relationships/hyperlink" Target="https://doi.org/10.1051/e3sconf/202344701009" TargetMode="External"/><Relationship Id="rId248" Type="http://schemas.openxmlformats.org/officeDocument/2006/relationships/hyperlink" Target="https://ijeecs.iaescore.com/index.php/IJEECS" TargetMode="External"/><Relationship Id="rId247" Type="http://schemas.openxmlformats.org/officeDocument/2006/relationships/hyperlink" Target="https://drive.google.com/drive/folders/1iUFWqezMUMTNr_K4e4ixW7OQ-peqqc9E?usp=sharing" TargetMode="External"/><Relationship Id="rId489" Type="http://schemas.openxmlformats.org/officeDocument/2006/relationships/hyperlink" Target="https://doi.org/10.1016/j.dib.2023.109254" TargetMode="External"/><Relationship Id="rId242" Type="http://schemas.openxmlformats.org/officeDocument/2006/relationships/hyperlink" Target="http://m.sc/" TargetMode="External"/><Relationship Id="rId484" Type="http://schemas.openxmlformats.org/officeDocument/2006/relationships/hyperlink" Target="https://doi.org/10.1088/1755-1315/1109/1/012010" TargetMode="External"/><Relationship Id="rId241" Type="http://schemas.openxmlformats.org/officeDocument/2006/relationships/hyperlink" Target="https://doi.org/10.22146/ijc.79864" TargetMode="External"/><Relationship Id="rId483" Type="http://schemas.openxmlformats.org/officeDocument/2006/relationships/hyperlink" Target="https://doi.org/10.1007/s41324-023-00560-y" TargetMode="External"/><Relationship Id="rId240" Type="http://schemas.openxmlformats.org/officeDocument/2006/relationships/hyperlink" Target="https://hrcak.srce.hr/ojs/index.php/rgn/article/view/29113/16302" TargetMode="External"/><Relationship Id="rId482" Type="http://schemas.openxmlformats.org/officeDocument/2006/relationships/hyperlink" Target="https://link.springer.com/article/10.1007/s41324-023-00560-y" TargetMode="External"/><Relationship Id="rId481" Type="http://schemas.openxmlformats.org/officeDocument/2006/relationships/hyperlink" Target="https://dx.doi.org/10.14569/IJACSA.2023.01411120" TargetMode="External"/><Relationship Id="rId246" Type="http://schemas.openxmlformats.org/officeDocument/2006/relationships/hyperlink" Target="https://doi.org/10.1007/s40860-023-00214-8" TargetMode="External"/><Relationship Id="rId488" Type="http://schemas.openxmlformats.org/officeDocument/2006/relationships/hyperlink" Target="https://www.sciencedirect.com/science/article/pii/S2352340923003736" TargetMode="External"/><Relationship Id="rId245" Type="http://schemas.openxmlformats.org/officeDocument/2006/relationships/hyperlink" Target="https://drive.google.com/drive/folders/1iUFWqezMUMTNr_K4e4ixW7OQ-peqqc9E?usp=sharing" TargetMode="External"/><Relationship Id="rId487" Type="http://schemas.openxmlformats.org/officeDocument/2006/relationships/hyperlink" Target="https://doi.org/10.1016/j.oceaneng.2023.115691" TargetMode="External"/><Relationship Id="rId244" Type="http://schemas.openxmlformats.org/officeDocument/2006/relationships/hyperlink" Target="https://doi.org/10.1063/5.0181482" TargetMode="External"/><Relationship Id="rId486" Type="http://schemas.openxmlformats.org/officeDocument/2006/relationships/hyperlink" Target="https://www.sciencedirect.com/science/article/abs/pii/S0029801823020759" TargetMode="External"/><Relationship Id="rId243" Type="http://schemas.openxmlformats.org/officeDocument/2006/relationships/hyperlink" Target="https://drive.google.com/drive/folders/1iUFWqezMUMTNr_K4e4ixW7OQ-peqqc9E?usp=sharing" TargetMode="External"/><Relationship Id="rId485" Type="http://schemas.openxmlformats.org/officeDocument/2006/relationships/hyperlink" Target="https://doi.org/10.1093/mnras/stac3349" TargetMode="External"/><Relationship Id="rId480" Type="http://schemas.openxmlformats.org/officeDocument/2006/relationships/hyperlink" Target="https://doi.org/10.14569/IJACSA.2023.0140521" TargetMode="External"/><Relationship Id="rId239" Type="http://schemas.openxmlformats.org/officeDocument/2006/relationships/hyperlink" Target="https://drive.google.com/drive/folders/1iUFWqezMUMTNr_K4e4ixW7OQ-peqqc9E?usp=sharing" TargetMode="External"/><Relationship Id="rId238" Type="http://schemas.openxmlformats.org/officeDocument/2006/relationships/hyperlink" Target="https://doi.org/10.1088/1402-4896/acf89e" TargetMode="External"/><Relationship Id="rId237" Type="http://schemas.openxmlformats.org/officeDocument/2006/relationships/hyperlink" Target="https://drive.google.com/drive/folders/1iUFWqezMUMTNr_K4e4ixW7OQ-peqqc9E?usp=sharing" TargetMode="External"/><Relationship Id="rId479" Type="http://schemas.openxmlformats.org/officeDocument/2006/relationships/hyperlink" Target="https://dx.doi.org/10.14569/IJACSA.2023.0140521" TargetMode="External"/><Relationship Id="rId236" Type="http://schemas.openxmlformats.org/officeDocument/2006/relationships/hyperlink" Target="https://doi.org/10.1109/ICRAMET60171.2023.10366558" TargetMode="External"/><Relationship Id="rId478" Type="http://schemas.openxmlformats.org/officeDocument/2006/relationships/hyperlink" Target="https://doi.org/10.1088/1755-1315/1201/1/012049" TargetMode="External"/><Relationship Id="rId231" Type="http://schemas.openxmlformats.org/officeDocument/2006/relationships/hyperlink" Target="https://portal.core.edu.au/conf-ranks/?search=emnlp&amp;by=all&amp;source=all&amp;sort=atitle&amp;page=1" TargetMode="External"/><Relationship Id="rId473" Type="http://schemas.openxmlformats.org/officeDocument/2006/relationships/hyperlink" Target="https://drive.google.com/drive/folders/1iUFWqezMUMTNr_K4e4ixW7OQ-peqqc9E?usp=sharing" TargetMode="External"/><Relationship Id="rId230" Type="http://schemas.openxmlformats.org/officeDocument/2006/relationships/hyperlink" Target="https://drive.google.com/drive/folders/1iUFWqezMUMTNr_K4e4ixW7OQ-peqqc9E?usp=sharing" TargetMode="External"/><Relationship Id="rId472" Type="http://schemas.openxmlformats.org/officeDocument/2006/relationships/hyperlink" Target="https://doi.org/10.1109/ICITISEE57756.2022.10057669" TargetMode="External"/><Relationship Id="rId471" Type="http://schemas.openxmlformats.org/officeDocument/2006/relationships/hyperlink" Target="https://drive.google.com/drive/folders/1iUFWqezMUMTNr_K4e4ixW7OQ-peqqc9E?usp=sharing" TargetMode="External"/><Relationship Id="rId470" Type="http://schemas.openxmlformats.org/officeDocument/2006/relationships/hyperlink" Target="https://www.researchgate.net/publication/373165302_Revisiting_Fuel_Subsidies_in_Indonesia_using_K-Means_PAM_and_CLARA" TargetMode="External"/><Relationship Id="rId235" Type="http://schemas.openxmlformats.org/officeDocument/2006/relationships/hyperlink" Target="https://drive.google.com/drive/folders/1iUFWqezMUMTNr_K4e4ixW7OQ-peqqc9E?usp=sharing" TargetMode="External"/><Relationship Id="rId477" Type="http://schemas.openxmlformats.org/officeDocument/2006/relationships/hyperlink" Target="https://iopscience.iop.org/article/10.1088/1755-1315/1201/1/012049" TargetMode="External"/><Relationship Id="rId234" Type="http://schemas.openxmlformats.org/officeDocument/2006/relationships/hyperlink" Target="http://m.sc/" TargetMode="External"/><Relationship Id="rId476" Type="http://schemas.openxmlformats.org/officeDocument/2006/relationships/hyperlink" Target="https://doi.org/10.1007/s13369-023-08397-1" TargetMode="External"/><Relationship Id="rId233" Type="http://schemas.openxmlformats.org/officeDocument/2006/relationships/hyperlink" Target="http://m.sc/" TargetMode="External"/><Relationship Id="rId475" Type="http://schemas.openxmlformats.org/officeDocument/2006/relationships/hyperlink" Target="http://dx.doi.org/10.7225/toms.v12.n02.013" TargetMode="External"/><Relationship Id="rId232" Type="http://schemas.openxmlformats.org/officeDocument/2006/relationships/hyperlink" Target="https://doi.org/10.1109/ICRAMET60171.2023.10366537" TargetMode="External"/><Relationship Id="rId474" Type="http://schemas.openxmlformats.org/officeDocument/2006/relationships/hyperlink" Target="https://drive.google.com/drive/folders/1iUFWqezMUMTNr_K4e4ixW7OQ-peqqc9E?usp=sharing" TargetMode="External"/><Relationship Id="rId426" Type="http://schemas.openxmlformats.org/officeDocument/2006/relationships/hyperlink" Target="https://drive.google.com/drive/folders/1iUFWqezMUMTNr_K4e4ixW7OQ-peqqc9E?usp=sharing" TargetMode="External"/><Relationship Id="rId668" Type="http://schemas.openxmlformats.org/officeDocument/2006/relationships/hyperlink" Target="https://drive.google.com/open?id=1DNHE2NV4l8FDS19zII0dw0PXaQRyiCm4" TargetMode="External"/><Relationship Id="rId425" Type="http://schemas.openxmlformats.org/officeDocument/2006/relationships/hyperlink" Target="https://dl.acm.org/doi/10.1145/3575882.3575905" TargetMode="External"/><Relationship Id="rId667" Type="http://schemas.openxmlformats.org/officeDocument/2006/relationships/hyperlink" Target="https://doi.org/10.48550/arXiv.2212.10033" TargetMode="External"/><Relationship Id="rId424" Type="http://schemas.openxmlformats.org/officeDocument/2006/relationships/hyperlink" Target="https://drive.google.com/drive/folders/1iUFWqezMUMTNr_K4e4ixW7OQ-peqqc9E?usp=sharing" TargetMode="External"/><Relationship Id="rId666" Type="http://schemas.openxmlformats.org/officeDocument/2006/relationships/hyperlink" Target="https://doi.org/10.1109/ISRITI56927.2022.10053035" TargetMode="External"/><Relationship Id="rId423" Type="http://schemas.openxmlformats.org/officeDocument/2006/relationships/hyperlink" Target="https://doi.org/10.1109/CENIM56801.2022.10037479" TargetMode="External"/><Relationship Id="rId665" Type="http://schemas.openxmlformats.org/officeDocument/2006/relationships/hyperlink" Target="https://doi.org/10.1109/TIM.2023.3235450" TargetMode="External"/><Relationship Id="rId429" Type="http://schemas.openxmlformats.org/officeDocument/2006/relationships/hyperlink" Target="https://doi.org/10.1145/3575882.3575922" TargetMode="External"/><Relationship Id="rId428" Type="http://schemas.openxmlformats.org/officeDocument/2006/relationships/hyperlink" Target="https://drive.google.com/drive/folders/1iUFWqezMUMTNr_K4e4ixW7OQ-peqqc9E?usp=sharing" TargetMode="External"/><Relationship Id="rId427" Type="http://schemas.openxmlformats.org/officeDocument/2006/relationships/hyperlink" Target="https://doi.org/10.26594/register.v9i2.3441" TargetMode="External"/><Relationship Id="rId669" Type="http://schemas.openxmlformats.org/officeDocument/2006/relationships/hyperlink" Target="https://doi.org/10.1109/TAP.2023.3308581" TargetMode="External"/><Relationship Id="rId660" Type="http://schemas.openxmlformats.org/officeDocument/2006/relationships/hyperlink" Target="https://doi.org/10.1109/ISITIA59021.2023.10221162" TargetMode="External"/><Relationship Id="rId422" Type="http://schemas.openxmlformats.org/officeDocument/2006/relationships/hyperlink" Target="https://drive.google.com/drive/folders/1iUFWqezMUMTNr_K4e4ixW7OQ-peqqc9E?usp=sharing" TargetMode="External"/><Relationship Id="rId664" Type="http://schemas.openxmlformats.org/officeDocument/2006/relationships/hyperlink" Target="https://www.scopus.com/record/display.uri?eid=2-s2.0-85147204074&amp;origin=resultslist&amp;sort=plf-f" TargetMode="External"/><Relationship Id="rId421" Type="http://schemas.openxmlformats.org/officeDocument/2006/relationships/hyperlink" Target="https://doi.org/10.3991/ijet.v18i14.40201" TargetMode="External"/><Relationship Id="rId663" Type="http://schemas.openxmlformats.org/officeDocument/2006/relationships/hyperlink" Target="https://www.scopus.com/record/display.uri?eid=2-s2.0-85175009623&amp;origin=resultslist&amp;sort=plf-f&amp;src=s&amp;sid=e9b5ed1022cad3285cb45be9bf1d4183&amp;sot=b&amp;sdt=b&amp;s=TITLE-ABS-KEY%28The+Use+of+Tragacanth+as+a+Gelling+Agent+in+Roselle+Flower+Extract+based+Radiochromic+Indicators%29&amp;sl=111&amp;sessionSearchId=e9b5ed1022cad3285cb45be9bf1d4183&amp;relpos=0" TargetMode="External"/><Relationship Id="rId420" Type="http://schemas.openxmlformats.org/officeDocument/2006/relationships/hyperlink" Target="https://drive.google.com/drive/folders/1iUFWqezMUMTNr_K4e4ixW7OQ-peqqc9E?usp=sharing" TargetMode="External"/><Relationship Id="rId662" Type="http://schemas.openxmlformats.org/officeDocument/2006/relationships/hyperlink" Target="https://doi.org/10.18517/ijaseit.13.5.18750" TargetMode="External"/><Relationship Id="rId661" Type="http://schemas.openxmlformats.org/officeDocument/2006/relationships/hyperlink" Target="https://drive.google.com/open?id=1M5I-2UCVXUSGtOHzPStPZKaKvTiXDx08" TargetMode="External"/><Relationship Id="rId415" Type="http://schemas.openxmlformats.org/officeDocument/2006/relationships/hyperlink" Target="https://drive.google.com/drive/folders/1iUFWqezMUMTNr_K4e4ixW7OQ-peqqc9E?usp=sharing" TargetMode="External"/><Relationship Id="rId657" Type="http://schemas.openxmlformats.org/officeDocument/2006/relationships/hyperlink" Target="https://doi.org/10.1016/j.micpro.2023.104820" TargetMode="External"/><Relationship Id="rId899" Type="http://schemas.openxmlformats.org/officeDocument/2006/relationships/hyperlink" Target="https://ieeexplore.ieee.org/document/10180421" TargetMode="External"/><Relationship Id="rId414" Type="http://schemas.openxmlformats.org/officeDocument/2006/relationships/hyperlink" Target="https://doi.org/10.1109/IC3INA60834.2023.10285738" TargetMode="External"/><Relationship Id="rId656" Type="http://schemas.openxmlformats.org/officeDocument/2006/relationships/hyperlink" Target="https://doi.org/10.1145/3575882.3575890" TargetMode="External"/><Relationship Id="rId898" Type="http://schemas.openxmlformats.org/officeDocument/2006/relationships/hyperlink" Target="https://dl.acm.org/doi/abs/10.1145/3575882.3575906" TargetMode="External"/><Relationship Id="rId413" Type="http://schemas.openxmlformats.org/officeDocument/2006/relationships/hyperlink" Target="https://drive.google.com/drive/folders/1iUFWqezMUMTNr_K4e4ixW7OQ-peqqc9E?usp=sharing" TargetMode="External"/><Relationship Id="rId655" Type="http://schemas.openxmlformats.org/officeDocument/2006/relationships/hyperlink" Target="https://drive.google.com/open?id=19CcdWwcEy9wAwMLvHNQd2kBkmSJl1v3Q" TargetMode="External"/><Relationship Id="rId897" Type="http://schemas.openxmlformats.org/officeDocument/2006/relationships/hyperlink" Target="https://ieeexplore.ieee.org/document/10291592/" TargetMode="External"/><Relationship Id="rId412" Type="http://schemas.openxmlformats.org/officeDocument/2006/relationships/hyperlink" Target="https://doi.org/10.1109/IC3INA60834.2023.10285772" TargetMode="External"/><Relationship Id="rId654" Type="http://schemas.openxmlformats.org/officeDocument/2006/relationships/hyperlink" Target="https://doi.org/10.11999/JEIT221435" TargetMode="External"/><Relationship Id="rId896" Type="http://schemas.openxmlformats.org/officeDocument/2006/relationships/hyperlink" Target="https://www.tandfonline.com/doi/full/10.1080/23311886.2023.2258663" TargetMode="External"/><Relationship Id="rId419" Type="http://schemas.openxmlformats.org/officeDocument/2006/relationships/hyperlink" Target="https://drive.google.com/drive/folders/1iUFWqezMUMTNr_K4e4ixW7OQ-peqqc9E?usp=sharing" TargetMode="External"/><Relationship Id="rId418" Type="http://schemas.openxmlformats.org/officeDocument/2006/relationships/hyperlink" Target="https://drive.google.com/drive/folders/1iUFWqezMUMTNr_K4e4ixW7OQ-peqqc9E?usp=sharing" TargetMode="External"/><Relationship Id="rId417" Type="http://schemas.openxmlformats.org/officeDocument/2006/relationships/hyperlink" Target="https://drive.google.com/drive/folders/1iUFWqezMUMTNr_K4e4ixW7OQ-peqqc9E?usp=sharing" TargetMode="External"/><Relationship Id="rId659" Type="http://schemas.openxmlformats.org/officeDocument/2006/relationships/hyperlink" Target="https://drive.google.com/open?id=11lAWl17zwv9NHv0P5V3xSRC_6gJjb0HY" TargetMode="External"/><Relationship Id="rId416" Type="http://schemas.openxmlformats.org/officeDocument/2006/relationships/hyperlink" Target="https://doi.org/10.1109/IC3INA60834.2023.10285740" TargetMode="External"/><Relationship Id="rId658" Type="http://schemas.openxmlformats.org/officeDocument/2006/relationships/hyperlink" Target="https://doi.org/10.1109/IC3INA60834.2023.10285777" TargetMode="External"/><Relationship Id="rId891" Type="http://schemas.openxmlformats.org/officeDocument/2006/relationships/hyperlink" Target="https://ieeexplore.ieee.org/document/10285743" TargetMode="External"/><Relationship Id="rId890" Type="http://schemas.openxmlformats.org/officeDocument/2006/relationships/hyperlink" Target="https://ieeexplore.ieee.org/document/10285797" TargetMode="External"/><Relationship Id="rId411" Type="http://schemas.openxmlformats.org/officeDocument/2006/relationships/hyperlink" Target="https://drive.google.com/drive/folders/1iUFWqezMUMTNr_K4e4ixW7OQ-peqqc9E?usp=sharing" TargetMode="External"/><Relationship Id="rId653" Type="http://schemas.openxmlformats.org/officeDocument/2006/relationships/hyperlink" Target="https://drive.google.com/open?id=1SHR1V3BWSBcIaeU9ud2DBrssMc7r6ntW" TargetMode="External"/><Relationship Id="rId895" Type="http://schemas.openxmlformats.org/officeDocument/2006/relationships/hyperlink" Target="https://ieeexplore.ieee.org/document/10285739" TargetMode="External"/><Relationship Id="rId410" Type="http://schemas.openxmlformats.org/officeDocument/2006/relationships/hyperlink" Target="https://doi.org/10.1109/IC3INA60834.2023.10285769" TargetMode="External"/><Relationship Id="rId652" Type="http://schemas.openxmlformats.org/officeDocument/2006/relationships/hyperlink" Target="https://doi.org/10.1088/1402-4896/acdd2b" TargetMode="External"/><Relationship Id="rId894" Type="http://schemas.openxmlformats.org/officeDocument/2006/relationships/hyperlink" Target="https://ieeexplore.ieee.org/document/10285795" TargetMode="External"/><Relationship Id="rId651" Type="http://schemas.openxmlformats.org/officeDocument/2006/relationships/hyperlink" Target="https://doi.org/10.1063/5.0116421" TargetMode="External"/><Relationship Id="rId893" Type="http://schemas.openxmlformats.org/officeDocument/2006/relationships/hyperlink" Target="https://doi.org/10.7324/JAPS.2023.123438" TargetMode="External"/><Relationship Id="rId650" Type="http://schemas.openxmlformats.org/officeDocument/2006/relationships/hyperlink" Target="https://drive.google.com/open?id=1NSclNNTBrZgrl7DNqmkWFnWdJNrAflCM" TargetMode="External"/><Relationship Id="rId892" Type="http://schemas.openxmlformats.org/officeDocument/2006/relationships/hyperlink" Target="https://ieeexplore.ieee.org/document/10285744" TargetMode="External"/><Relationship Id="rId206" Type="http://schemas.openxmlformats.org/officeDocument/2006/relationships/hyperlink" Target="https://doi.org/10.2174/0113894501290512240327091531" TargetMode="External"/><Relationship Id="rId448" Type="http://schemas.openxmlformats.org/officeDocument/2006/relationships/hyperlink" Target="https://drive.google.com/drive/folders/1iUFWqezMUMTNr_K4e4ixW7OQ-peqqc9E?usp=sharing" TargetMode="External"/><Relationship Id="rId205" Type="http://schemas.openxmlformats.org/officeDocument/2006/relationships/hyperlink" Target="https://www.scopus.com/record/display.uri?eid=2-s2.0-85195274552&amp;origin=resultslist" TargetMode="External"/><Relationship Id="rId447" Type="http://schemas.openxmlformats.org/officeDocument/2006/relationships/hyperlink" Target="https://doi.org/10.1109/IC3INA60834.2023.10285766" TargetMode="External"/><Relationship Id="rId689" Type="http://schemas.openxmlformats.org/officeDocument/2006/relationships/hyperlink" Target="https://drive.google.com/drive/folders/16z-DqCiZOnH6awkalGfdNDjrELEzFUuS?usp=sharing" TargetMode="External"/><Relationship Id="rId204" Type="http://schemas.openxmlformats.org/officeDocument/2006/relationships/hyperlink" Target="https://drive.google.com/drive/folders/1iUFWqezMUMTNr_K4e4ixW7OQ-peqqc9E?usp=sharing" TargetMode="External"/><Relationship Id="rId446" Type="http://schemas.openxmlformats.org/officeDocument/2006/relationships/hyperlink" Target="https://drive.google.com/drive/folders/1iUFWqezMUMTNr_K4e4ixW7OQ-peqqc9E?usp=sharing" TargetMode="External"/><Relationship Id="rId688" Type="http://schemas.openxmlformats.org/officeDocument/2006/relationships/hyperlink" Target="https://doi.org/10.1109/ICRAMET60171.2023.10366566" TargetMode="External"/><Relationship Id="rId203" Type="http://schemas.openxmlformats.org/officeDocument/2006/relationships/hyperlink" Target="https://doi.org/10.1051/e3sconf/202346401015" TargetMode="External"/><Relationship Id="rId445" Type="http://schemas.openxmlformats.org/officeDocument/2006/relationships/hyperlink" Target="https://doi.org/10.1109/IC3INA60834.2023.10285800" TargetMode="External"/><Relationship Id="rId687" Type="http://schemas.openxmlformats.org/officeDocument/2006/relationships/hyperlink" Target="https://drive.google.com/open?id=1sw5Nu0vASMzH5PMrvOdRUSd7dqCTBBf2" TargetMode="External"/><Relationship Id="rId209" Type="http://schemas.openxmlformats.org/officeDocument/2006/relationships/hyperlink" Target="https://jtiik.ub.ac.id/index.php/jtiik/article/view/7404" TargetMode="External"/><Relationship Id="rId208" Type="http://schemas.openxmlformats.org/officeDocument/2006/relationships/hyperlink" Target="https://drive.google.com/drive/folders/1iUFWqezMUMTNr_K4e4ixW7OQ-peqqc9E?usp=sharing" TargetMode="External"/><Relationship Id="rId207" Type="http://schemas.openxmlformats.org/officeDocument/2006/relationships/hyperlink" Target="https://doi.org/10.1063/5.0178507" TargetMode="External"/><Relationship Id="rId449" Type="http://schemas.openxmlformats.org/officeDocument/2006/relationships/hyperlink" Target="https://doi.org/10.1109/IC3INA60834.2023.10285775" TargetMode="External"/><Relationship Id="rId440" Type="http://schemas.openxmlformats.org/officeDocument/2006/relationships/hyperlink" Target="https://drive.google.com/drive/folders/1iUFWqezMUMTNr_K4e4ixW7OQ-peqqc9E?usp=sharing" TargetMode="External"/><Relationship Id="rId682" Type="http://schemas.openxmlformats.org/officeDocument/2006/relationships/hyperlink" Target="https://doi.org/10.1109/ICRAMET60171.2023.10366700" TargetMode="External"/><Relationship Id="rId681" Type="http://schemas.openxmlformats.org/officeDocument/2006/relationships/hyperlink" Target="https://drive.google.com/open?id=1q8FEqzYxsmQAGo82DSw5NqseURyZL7gL" TargetMode="External"/><Relationship Id="rId680" Type="http://schemas.openxmlformats.org/officeDocument/2006/relationships/hyperlink" Target="https://doi.org/10.1109/ICRAMET60171.2023.10366619" TargetMode="External"/><Relationship Id="rId202" Type="http://schemas.openxmlformats.org/officeDocument/2006/relationships/hyperlink" Target="https://drive.google.com/drive/folders/1iUFWqezMUMTNr_K4e4ixW7OQ-peqqc9E?usp=sharing" TargetMode="External"/><Relationship Id="rId444" Type="http://schemas.openxmlformats.org/officeDocument/2006/relationships/hyperlink" Target="https://drive.google.com/drive/folders/1iUFWqezMUMTNr_K4e4ixW7OQ-peqqc9E?usp=sharing" TargetMode="External"/><Relationship Id="rId686" Type="http://schemas.openxmlformats.org/officeDocument/2006/relationships/hyperlink" Target="https://doi.org/10.1109/ICRAMET60171.2023.10366729" TargetMode="External"/><Relationship Id="rId201" Type="http://schemas.openxmlformats.org/officeDocument/2006/relationships/hyperlink" Target="https://doi.org/10.1016/j.cej.2023.147990" TargetMode="External"/><Relationship Id="rId443" Type="http://schemas.openxmlformats.org/officeDocument/2006/relationships/hyperlink" Target="https://doi.org/10.1109/IC3INA60834.2023.10285807" TargetMode="External"/><Relationship Id="rId685" Type="http://schemas.openxmlformats.org/officeDocument/2006/relationships/hyperlink" Target="https://drive.google.com/open?id=1_x_t5SmBADlYiuzpHY8NciIrPRevveat" TargetMode="External"/><Relationship Id="rId200" Type="http://schemas.openxmlformats.org/officeDocument/2006/relationships/hyperlink" Target="https://drive.google.com/drive/folders/1iUFWqezMUMTNr_K4e4ixW7OQ-peqqc9E?usp=sharing" TargetMode="External"/><Relationship Id="rId442" Type="http://schemas.openxmlformats.org/officeDocument/2006/relationships/hyperlink" Target="https://drive.google.com/drive/folders/1iUFWqezMUMTNr_K4e4ixW7OQ-peqqc9E?usp=sharing" TargetMode="External"/><Relationship Id="rId684" Type="http://schemas.openxmlformats.org/officeDocument/2006/relationships/hyperlink" Target="https://doi.org/10.1109/ICRAMET60171.2023.10366590" TargetMode="External"/><Relationship Id="rId441" Type="http://schemas.openxmlformats.org/officeDocument/2006/relationships/hyperlink" Target="https://doi.org/10.1109/IC3INA60834.2023.10285786" TargetMode="External"/><Relationship Id="rId683" Type="http://schemas.openxmlformats.org/officeDocument/2006/relationships/hyperlink" Target="https://drive.google.com/open?id=1hsF7BQ-vZI4cogPQCKVs95mncwPSQRy_" TargetMode="External"/><Relationship Id="rId437" Type="http://schemas.openxmlformats.org/officeDocument/2006/relationships/hyperlink" Target="https://doi.org/10.1109/CyMaEn57228.2023.10051044" TargetMode="External"/><Relationship Id="rId679" Type="http://schemas.openxmlformats.org/officeDocument/2006/relationships/hyperlink" Target="https://conference.brin.go.id/icramet2023/" TargetMode="External"/><Relationship Id="rId436" Type="http://schemas.openxmlformats.org/officeDocument/2006/relationships/hyperlink" Target="https://drive.google.com/drive/folders/1iUFWqezMUMTNr_K4e4ixW7OQ-peqqc9E?usp=sharing" TargetMode="External"/><Relationship Id="rId678" Type="http://schemas.openxmlformats.org/officeDocument/2006/relationships/hyperlink" Target="https://doi.org/10.1109/ICRAMET60171.2023.10366544" TargetMode="External"/><Relationship Id="rId435" Type="http://schemas.openxmlformats.org/officeDocument/2006/relationships/hyperlink" Target="https://doi.org/10.1145/3575882.3575924" TargetMode="External"/><Relationship Id="rId677" Type="http://schemas.openxmlformats.org/officeDocument/2006/relationships/hyperlink" Target="https://doi.org/10.1109/ICRAMET60171.2023.10366554" TargetMode="External"/><Relationship Id="rId434" Type="http://schemas.openxmlformats.org/officeDocument/2006/relationships/hyperlink" Target="https://drive.google.com/drive/folders/1iUFWqezMUMTNr_K4e4ixW7OQ-peqqc9E?usp=sharing" TargetMode="External"/><Relationship Id="rId676" Type="http://schemas.openxmlformats.org/officeDocument/2006/relationships/hyperlink" Target="https://drive.google.com/open?id=1UtbtuvrgyDMrKqgOHuP3XU2SyYtthTgk" TargetMode="External"/><Relationship Id="rId439" Type="http://schemas.openxmlformats.org/officeDocument/2006/relationships/hyperlink" Target="https://doi.org/10.1109/ISITIA59021.2023.10221093" TargetMode="External"/><Relationship Id="rId438" Type="http://schemas.openxmlformats.org/officeDocument/2006/relationships/hyperlink" Target="https://drive.google.com/drive/folders/1iUFWqezMUMTNr_K4e4ixW7OQ-peqqc9E?usp=sharing" TargetMode="External"/><Relationship Id="rId671" Type="http://schemas.openxmlformats.org/officeDocument/2006/relationships/hyperlink" Target="https://doi.org/10.1109/ICCE-Asia59966.2023.10326421" TargetMode="External"/><Relationship Id="rId670" Type="http://schemas.openxmlformats.org/officeDocument/2006/relationships/hyperlink" Target="https://ieeexplore.ieee.org/abstract/document/10235878" TargetMode="External"/><Relationship Id="rId433" Type="http://schemas.openxmlformats.org/officeDocument/2006/relationships/hyperlink" Target="https://doi.org/10.1109/COSITE60233.2023.10250069" TargetMode="External"/><Relationship Id="rId675" Type="http://schemas.openxmlformats.org/officeDocument/2006/relationships/hyperlink" Target="https://doi.org/10.1109/ICRAMET60171.2023.10366779" TargetMode="External"/><Relationship Id="rId432" Type="http://schemas.openxmlformats.org/officeDocument/2006/relationships/hyperlink" Target="https://drive.google.com/drive/folders/1iUFWqezMUMTNr_K4e4ixW7OQ-peqqc9E?usp=sharing" TargetMode="External"/><Relationship Id="rId674" Type="http://schemas.openxmlformats.org/officeDocument/2006/relationships/hyperlink" Target="https://drive.google.com/open?id=1gMHe1VjGtj4sZC_7ky_bchAV3KOfWazb" TargetMode="External"/><Relationship Id="rId431" Type="http://schemas.openxmlformats.org/officeDocument/2006/relationships/hyperlink" Target="https://doi.org/10.1145/3575882.3575926" TargetMode="External"/><Relationship Id="rId673" Type="http://schemas.openxmlformats.org/officeDocument/2006/relationships/hyperlink" Target="https://doi.org/10.1109/ICRAMET60171.2023.10366708" TargetMode="External"/><Relationship Id="rId430" Type="http://schemas.openxmlformats.org/officeDocument/2006/relationships/hyperlink" Target="https://drive.google.com/drive/folders/1iUFWqezMUMTNr_K4e4ixW7OQ-peqqc9E?usp=sharing" TargetMode="External"/><Relationship Id="rId672" Type="http://schemas.openxmlformats.org/officeDocument/2006/relationships/hyperlink" Target="https://ieeexplore.ieee.org/document/1032642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1-0JwqHquOVMBX0-f1B-GZciE4-XNeci6?usp=sharing" TargetMode="External"/><Relationship Id="rId2" Type="http://schemas.openxmlformats.org/officeDocument/2006/relationships/hyperlink" Target="https://drive.google.com/drive/folders/1-0JwqHquOVMBX0-f1B-GZciE4-XNeci6?usp=sharing" TargetMode="External"/><Relationship Id="rId3" Type="http://schemas.openxmlformats.org/officeDocument/2006/relationships/hyperlink" Target="https://drive.google.com/drive/folders/1-0JwqHquOVMBX0-f1B-GZciE4-XNeci6?usp=sharing" TargetMode="External"/><Relationship Id="rId4" Type="http://schemas.openxmlformats.org/officeDocument/2006/relationships/hyperlink" Target="https://drive.google.com/drive/folders/1-0JwqHquOVMBX0-f1B-GZciE4-XNeci6?usp=sharing" TargetMode="External"/><Relationship Id="rId9" Type="http://schemas.openxmlformats.org/officeDocument/2006/relationships/hyperlink" Target="https://drive.google.com/drive/folders/1-0JwqHquOVMBX0-f1B-GZciE4-XNeci6?usp=sharing" TargetMode="External"/><Relationship Id="rId5" Type="http://schemas.openxmlformats.org/officeDocument/2006/relationships/hyperlink" Target="http://s.st/" TargetMode="External"/><Relationship Id="rId6" Type="http://schemas.openxmlformats.org/officeDocument/2006/relationships/hyperlink" Target="https://drive.google.com/drive/folders/1-0JwqHquOVMBX0-f1B-GZciE4-XNeci6?usp=sharing" TargetMode="External"/><Relationship Id="rId7" Type="http://schemas.openxmlformats.org/officeDocument/2006/relationships/hyperlink" Target="https://drive.google.com/drive/folders/1-0JwqHquOVMBX0-f1B-GZciE4-XNeci6?usp=sharing" TargetMode="External"/><Relationship Id="rId8" Type="http://schemas.openxmlformats.org/officeDocument/2006/relationships/hyperlink" Target="https://drive.google.com/drive/folders/1-0JwqHquOVMBX0-f1B-GZciE4-XNeci6?usp=sharing" TargetMode="External"/><Relationship Id="rId40" Type="http://schemas.openxmlformats.org/officeDocument/2006/relationships/hyperlink" Target="https://drive.google.com/drive/folders/1-0JwqHquOVMBX0-f1B-GZciE4-XNeci6?usp=sharing" TargetMode="External"/><Relationship Id="rId42" Type="http://schemas.openxmlformats.org/officeDocument/2006/relationships/hyperlink" Target="https://drive.google.com/drive/folders/1-0JwqHquOVMBX0-f1B-GZciE4-XNeci6?usp=sharing" TargetMode="External"/><Relationship Id="rId41" Type="http://schemas.openxmlformats.org/officeDocument/2006/relationships/hyperlink" Target="https://drive.google.com/drive/folders/1-0JwqHquOVMBX0-f1B-GZciE4-XNeci6?usp=sharing" TargetMode="External"/><Relationship Id="rId44" Type="http://schemas.openxmlformats.org/officeDocument/2006/relationships/hyperlink" Target="https://drive.google.com/drive/folders/1-0JwqHquOVMBX0-f1B-GZciE4-XNeci6?usp=sharing" TargetMode="External"/><Relationship Id="rId43" Type="http://schemas.openxmlformats.org/officeDocument/2006/relationships/hyperlink" Target="https://drive.google.com/drive/folders/1-0JwqHquOVMBX0-f1B-GZciE4-XNeci6?usp=sharing" TargetMode="External"/><Relationship Id="rId46" Type="http://schemas.openxmlformats.org/officeDocument/2006/relationships/hyperlink" Target="https://drive.google.com/drive/folders/1-0JwqHquOVMBX0-f1B-GZciE4-XNeci6?usp=sharing" TargetMode="External"/><Relationship Id="rId45" Type="http://schemas.openxmlformats.org/officeDocument/2006/relationships/hyperlink" Target="https://drive.google.com/drive/folders/1-0JwqHquOVMBX0-f1B-GZciE4-XNeci6?usp=sharing" TargetMode="External"/><Relationship Id="rId48" Type="http://schemas.openxmlformats.org/officeDocument/2006/relationships/hyperlink" Target="https://drive.google.com/drive/folders/1-0JwqHquOVMBX0-f1B-GZciE4-XNeci6?usp=sharing" TargetMode="External"/><Relationship Id="rId47" Type="http://schemas.openxmlformats.org/officeDocument/2006/relationships/hyperlink" Target="https://drive.google.com/drive/folders/1-0JwqHquOVMBX0-f1B-GZciE4-XNeci6?usp=sharing" TargetMode="External"/><Relationship Id="rId49" Type="http://schemas.openxmlformats.org/officeDocument/2006/relationships/hyperlink" Target="https://drive.google.com/drive/folders/1-0JwqHquOVMBX0-f1B-GZciE4-XNeci6?usp=sharing" TargetMode="External"/><Relationship Id="rId31" Type="http://schemas.openxmlformats.org/officeDocument/2006/relationships/hyperlink" Target="https://drive.google.com/file/d/1IZDuBFL6wqJJzw8qHhG7ahcmqvM7UERp/view?usp=drive_link" TargetMode="External"/><Relationship Id="rId30" Type="http://schemas.openxmlformats.org/officeDocument/2006/relationships/hyperlink" Target="https://drive.google.com/drive/folders/1-0JwqHquOVMBX0-f1B-GZciE4-XNeci6?usp=sharing" TargetMode="External"/><Relationship Id="rId33" Type="http://schemas.openxmlformats.org/officeDocument/2006/relationships/hyperlink" Target="https://drive.google.com/drive/folders/1-0JwqHquOVMBX0-f1B-GZciE4-XNeci6?usp=sharing" TargetMode="External"/><Relationship Id="rId32" Type="http://schemas.openxmlformats.org/officeDocument/2006/relationships/hyperlink" Target="https://drive.google.com/drive/folders/1-0JwqHquOVMBX0-f1B-GZciE4-XNeci6?usp=sharing" TargetMode="External"/><Relationship Id="rId35" Type="http://schemas.openxmlformats.org/officeDocument/2006/relationships/hyperlink" Target="https://drive.google.com/drive/folders/1-0JwqHquOVMBX0-f1B-GZciE4-XNeci6?usp=sharing" TargetMode="External"/><Relationship Id="rId34" Type="http://schemas.openxmlformats.org/officeDocument/2006/relationships/hyperlink" Target="https://drive.google.com/drive/folders/1-0JwqHquOVMBX0-f1B-GZciE4-XNeci6?usp=sharing" TargetMode="External"/><Relationship Id="rId37" Type="http://schemas.openxmlformats.org/officeDocument/2006/relationships/hyperlink" Target="https://drive.google.com/drive/folders/1-0JwqHquOVMBX0-f1B-GZciE4-XNeci6?usp=sharing" TargetMode="External"/><Relationship Id="rId36" Type="http://schemas.openxmlformats.org/officeDocument/2006/relationships/hyperlink" Target="https://drive.google.com/drive/folders/1-0JwqHquOVMBX0-f1B-GZciE4-XNeci6?usp=sharing" TargetMode="External"/><Relationship Id="rId39" Type="http://schemas.openxmlformats.org/officeDocument/2006/relationships/hyperlink" Target="https://drive.google.com/drive/folders/1-0JwqHquOVMBX0-f1B-GZciE4-XNeci6?usp=sharing" TargetMode="External"/><Relationship Id="rId38" Type="http://schemas.openxmlformats.org/officeDocument/2006/relationships/hyperlink" Target="https://drive.google.com/drive/folders/1-0JwqHquOVMBX0-f1B-GZciE4-XNeci6?usp=sharing" TargetMode="External"/><Relationship Id="rId20" Type="http://schemas.openxmlformats.org/officeDocument/2006/relationships/hyperlink" Target="https://drive.google.com/drive/folders/1-0JwqHquOVMBX0-f1B-GZciE4-XNeci6?usp=sharing" TargetMode="External"/><Relationship Id="rId22" Type="http://schemas.openxmlformats.org/officeDocument/2006/relationships/hyperlink" Target="http://m.sc/" TargetMode="External"/><Relationship Id="rId21" Type="http://schemas.openxmlformats.org/officeDocument/2006/relationships/hyperlink" Target="https://drive.google.com/drive/folders/1-0JwqHquOVMBX0-f1B-GZciE4-XNeci6?usp=sharing" TargetMode="External"/><Relationship Id="rId24" Type="http://schemas.openxmlformats.org/officeDocument/2006/relationships/hyperlink" Target="http://m.sc/" TargetMode="External"/><Relationship Id="rId23" Type="http://schemas.openxmlformats.org/officeDocument/2006/relationships/hyperlink" Target="https://drive.google.com/drive/folders/1-0JwqHquOVMBX0-f1B-GZciE4-XNeci6?usp=sharing" TargetMode="External"/><Relationship Id="rId26" Type="http://schemas.openxmlformats.org/officeDocument/2006/relationships/hyperlink" Target="https://drive.google.com/file/d/1x8fA6k-J1ot2SGDnFoFsp_taoQJjOI0M/view?usp=sharing" TargetMode="External"/><Relationship Id="rId25" Type="http://schemas.openxmlformats.org/officeDocument/2006/relationships/hyperlink" Target="https://drive.google.com/drive/folders/1-0JwqHquOVMBX0-f1B-GZciE4-XNeci6?usp=sharing" TargetMode="External"/><Relationship Id="rId28" Type="http://schemas.openxmlformats.org/officeDocument/2006/relationships/hyperlink" Target="http://m.sc/" TargetMode="External"/><Relationship Id="rId27" Type="http://schemas.openxmlformats.org/officeDocument/2006/relationships/hyperlink" Target="https://drive.google.com/drive/folders/1-0JwqHquOVMBX0-f1B-GZciE4-XNeci6?usp=sharing" TargetMode="External"/><Relationship Id="rId29" Type="http://schemas.openxmlformats.org/officeDocument/2006/relationships/hyperlink" Target="https://drive.google.com/drive/folders/1-0JwqHquOVMBX0-f1B-GZciE4-XNeci6?usp=sharing" TargetMode="External"/><Relationship Id="rId11" Type="http://schemas.openxmlformats.org/officeDocument/2006/relationships/hyperlink" Target="https://drive.google.com/drive/folders/1-0JwqHquOVMBX0-f1B-GZciE4-XNeci6?usp=sharing" TargetMode="External"/><Relationship Id="rId10" Type="http://schemas.openxmlformats.org/officeDocument/2006/relationships/hyperlink" Target="https://drive.google.com/file/d/1ntCFDIW5oAGATqFmatckGw7bUyoIapyM/view?usp=sharing" TargetMode="External"/><Relationship Id="rId13" Type="http://schemas.openxmlformats.org/officeDocument/2006/relationships/hyperlink" Target="https://drive.google.com/drive/folders/1-0JwqHquOVMBX0-f1B-GZciE4-XNeci6?usp=sharing" TargetMode="External"/><Relationship Id="rId12" Type="http://schemas.openxmlformats.org/officeDocument/2006/relationships/hyperlink" Target="https://drive.google.com/file/d/12xIUu9OEs2AFqg07CYURonvAedkrs8tY/view?usp=sharing" TargetMode="External"/><Relationship Id="rId15" Type="http://schemas.openxmlformats.org/officeDocument/2006/relationships/hyperlink" Target="https://drive.google.com/drive/folders/1-0JwqHquOVMBX0-f1B-GZciE4-XNeci6?usp=sharing" TargetMode="External"/><Relationship Id="rId14" Type="http://schemas.openxmlformats.org/officeDocument/2006/relationships/hyperlink" Target="https://intipdaqu.brin.go.id/proses-hki/show/2024-1719989565-bkvd" TargetMode="External"/><Relationship Id="rId17" Type="http://schemas.openxmlformats.org/officeDocument/2006/relationships/hyperlink" Target="https://drive.google.com/drive/folders/1-0JwqHquOVMBX0-f1B-GZciE4-XNeci6?usp=sharing" TargetMode="External"/><Relationship Id="rId16" Type="http://schemas.openxmlformats.org/officeDocument/2006/relationships/hyperlink" Target="http://m.sc/" TargetMode="External"/><Relationship Id="rId19" Type="http://schemas.openxmlformats.org/officeDocument/2006/relationships/hyperlink" Target="http://m.sc/" TargetMode="External"/><Relationship Id="rId18" Type="http://schemas.openxmlformats.org/officeDocument/2006/relationships/hyperlink" Target="https://drive.google.com/drive/folders/1-0JwqHquOVMBX0-f1B-GZciE4-XNeci6?usp=sharing" TargetMode="External"/><Relationship Id="rId73" Type="http://schemas.openxmlformats.org/officeDocument/2006/relationships/hyperlink" Target="https://drive.google.com/drive/folders/1-0JwqHquOVMBX0-f1B-GZciE4-XNeci6?usp=sharing" TargetMode="External"/><Relationship Id="rId72" Type="http://schemas.openxmlformats.org/officeDocument/2006/relationships/hyperlink" Target="https://drive.google.com/drive/folders/1-0JwqHquOVMBX0-f1B-GZciE4-XNeci6?usp=sharing" TargetMode="External"/><Relationship Id="rId75" Type="http://schemas.openxmlformats.org/officeDocument/2006/relationships/hyperlink" Target="https://drive.google.com/drive/folders/1-0JwqHquOVMBX0-f1B-GZciE4-XNeci6?usp=sharing" TargetMode="External"/><Relationship Id="rId74" Type="http://schemas.openxmlformats.org/officeDocument/2006/relationships/hyperlink" Target="https://drive.google.com/drive/folders/1-0JwqHquOVMBX0-f1B-GZciE4-XNeci6?usp=sharing" TargetMode="External"/><Relationship Id="rId77" Type="http://schemas.openxmlformats.org/officeDocument/2006/relationships/drawing" Target="../drawings/drawing2.xml"/><Relationship Id="rId76" Type="http://schemas.openxmlformats.org/officeDocument/2006/relationships/hyperlink" Target="https://drive.google.com/drive/folders/1-0JwqHquOVMBX0-f1B-GZciE4-XNeci6?usp=sharing" TargetMode="External"/><Relationship Id="rId71" Type="http://schemas.openxmlformats.org/officeDocument/2006/relationships/hyperlink" Target="https://drive.google.com/drive/folders/1-0JwqHquOVMBX0-f1B-GZciE4-XNeci6?usp=sharing" TargetMode="External"/><Relationship Id="rId70" Type="http://schemas.openxmlformats.org/officeDocument/2006/relationships/hyperlink" Target="https://drive.google.com/drive/folders/1-0JwqHquOVMBX0-f1B-GZciE4-XNeci6?usp=sharing" TargetMode="External"/><Relationship Id="rId62" Type="http://schemas.openxmlformats.org/officeDocument/2006/relationships/hyperlink" Target="https://drive.google.com/drive/folders/1-0JwqHquOVMBX0-f1B-GZciE4-XNeci6?usp=sharing" TargetMode="External"/><Relationship Id="rId61" Type="http://schemas.openxmlformats.org/officeDocument/2006/relationships/hyperlink" Target="https://drive.google.com/drive/folders/1-0JwqHquOVMBX0-f1B-GZciE4-XNeci6?usp=sharing" TargetMode="External"/><Relationship Id="rId64" Type="http://schemas.openxmlformats.org/officeDocument/2006/relationships/hyperlink" Target="https://drive.google.com/drive/folders/1-0JwqHquOVMBX0-f1B-GZciE4-XNeci6?usp=sharing" TargetMode="External"/><Relationship Id="rId63" Type="http://schemas.openxmlformats.org/officeDocument/2006/relationships/hyperlink" Target="https://drive.google.com/drive/folders/1-0JwqHquOVMBX0-f1B-GZciE4-XNeci6?usp=sharing" TargetMode="External"/><Relationship Id="rId66" Type="http://schemas.openxmlformats.org/officeDocument/2006/relationships/hyperlink" Target="https://drive.google.com/drive/folders/1-0JwqHquOVMBX0-f1B-GZciE4-XNeci6?usp=sharing" TargetMode="External"/><Relationship Id="rId65" Type="http://schemas.openxmlformats.org/officeDocument/2006/relationships/hyperlink" Target="https://drive.google.com/drive/folders/1-0JwqHquOVMBX0-f1B-GZciE4-XNeci6?usp=sharing" TargetMode="External"/><Relationship Id="rId68" Type="http://schemas.openxmlformats.org/officeDocument/2006/relationships/hyperlink" Target="https://drive.google.com/drive/folders/1-0JwqHquOVMBX0-f1B-GZciE4-XNeci6?usp=sharing" TargetMode="External"/><Relationship Id="rId67" Type="http://schemas.openxmlformats.org/officeDocument/2006/relationships/hyperlink" Target="https://drive.google.com/drive/folders/1-0JwqHquOVMBX0-f1B-GZciE4-XNeci6?usp=sharing" TargetMode="External"/><Relationship Id="rId60" Type="http://schemas.openxmlformats.org/officeDocument/2006/relationships/hyperlink" Target="https://drive.google.com/drive/folders/1-0JwqHquOVMBX0-f1B-GZciE4-XNeci6?usp=sharing" TargetMode="External"/><Relationship Id="rId69" Type="http://schemas.openxmlformats.org/officeDocument/2006/relationships/hyperlink" Target="https://drive.google.com/drive/folders/1-0JwqHquOVMBX0-f1B-GZciE4-XNeci6?usp=sharing" TargetMode="External"/><Relationship Id="rId51" Type="http://schemas.openxmlformats.org/officeDocument/2006/relationships/hyperlink" Target="https://drive.google.com/drive/folders/1-0JwqHquOVMBX0-f1B-GZciE4-XNeci6?usp=sharing" TargetMode="External"/><Relationship Id="rId50" Type="http://schemas.openxmlformats.org/officeDocument/2006/relationships/hyperlink" Target="https://drive.google.com/drive/folders/1-0JwqHquOVMBX0-f1B-GZciE4-XNeci6?usp=sharing" TargetMode="External"/><Relationship Id="rId53" Type="http://schemas.openxmlformats.org/officeDocument/2006/relationships/hyperlink" Target="https://drive.google.com/drive/folders/1-0JwqHquOVMBX0-f1B-GZciE4-XNeci6?usp=sharing" TargetMode="External"/><Relationship Id="rId52" Type="http://schemas.openxmlformats.org/officeDocument/2006/relationships/hyperlink" Target="https://drive.google.com/drive/folders/1-0JwqHquOVMBX0-f1B-GZciE4-XNeci6?usp=sharing" TargetMode="External"/><Relationship Id="rId55" Type="http://schemas.openxmlformats.org/officeDocument/2006/relationships/hyperlink" Target="https://drive.google.com/drive/folders/1-0JwqHquOVMBX0-f1B-GZciE4-XNeci6?usp=sharing" TargetMode="External"/><Relationship Id="rId54" Type="http://schemas.openxmlformats.org/officeDocument/2006/relationships/hyperlink" Target="https://drive.google.com/drive/folders/1-0JwqHquOVMBX0-f1B-GZciE4-XNeci6?usp=sharing" TargetMode="External"/><Relationship Id="rId57" Type="http://schemas.openxmlformats.org/officeDocument/2006/relationships/hyperlink" Target="https://drive.google.com/drive/folders/1-0JwqHquOVMBX0-f1B-GZciE4-XNeci6?usp=sharing" TargetMode="External"/><Relationship Id="rId56" Type="http://schemas.openxmlformats.org/officeDocument/2006/relationships/hyperlink" Target="https://drive.google.com/drive/folders/1-0JwqHquOVMBX0-f1B-GZciE4-XNeci6?usp=sharing" TargetMode="External"/><Relationship Id="rId59" Type="http://schemas.openxmlformats.org/officeDocument/2006/relationships/hyperlink" Target="https://drive.google.com/drive/folders/1-0JwqHquOVMBX0-f1B-GZciE4-XNeci6?usp=sharing" TargetMode="External"/><Relationship Id="rId58" Type="http://schemas.openxmlformats.org/officeDocument/2006/relationships/hyperlink" Target="https://drive.google.com/drive/folders/1-0JwqHquOVMBX0-f1B-GZciE4-XNeci6?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drive/folders/1DkdLMZMPHAhFhAZ9GXIrBcHDd6228xRB?usp=sharing" TargetMode="External"/><Relationship Id="rId2" Type="http://schemas.openxmlformats.org/officeDocument/2006/relationships/hyperlink" Target="https://drive.google.com/drive/folders/1DkdLMZMPHAhFhAZ9GXIrBcHDd6228xRB?usp=sharing" TargetMode="External"/><Relationship Id="rId3" Type="http://schemas.openxmlformats.org/officeDocument/2006/relationships/hyperlink" Target="https://drive.google.com/drive/folders/1DkdLMZMPHAhFhAZ9GXIrBcHDd6228xRB?usp=sharing" TargetMode="External"/><Relationship Id="rId4" Type="http://schemas.openxmlformats.org/officeDocument/2006/relationships/hyperlink" Target="https://drive.google.com/drive/folders/1DkdLMZMPHAhFhAZ9GXIrBcHDd6228xRB?usp=sharing" TargetMode="External"/><Relationship Id="rId9" Type="http://schemas.openxmlformats.org/officeDocument/2006/relationships/hyperlink" Target="https://drive.google.com/drive/folders/1DkdLMZMPHAhFhAZ9GXIrBcHDd6228xRB?usp=sharing" TargetMode="External"/><Relationship Id="rId5" Type="http://schemas.openxmlformats.org/officeDocument/2006/relationships/hyperlink" Target="https://drive.google.com/drive/folders/1DkdLMZMPHAhFhAZ9GXIrBcHDd6228xRB?usp=sharing" TargetMode="External"/><Relationship Id="rId6" Type="http://schemas.openxmlformats.org/officeDocument/2006/relationships/hyperlink" Target="https://drive.google.com/file/d/1Kkn5dCs1JSw2q9zXRXph7fNkAEDVSBKl/view?usp=sharing" TargetMode="External"/><Relationship Id="rId7" Type="http://schemas.openxmlformats.org/officeDocument/2006/relationships/hyperlink" Target="https://docs.google.com/presentation/d/1WMnAidoeNJ-csdQCfZxZlhFQiP90YI2F/edit?usp=sharing&amp;ouid=101798751124829282603&amp;rtpof=true&amp;sd=true" TargetMode="External"/><Relationship Id="rId8" Type="http://schemas.openxmlformats.org/officeDocument/2006/relationships/hyperlink" Target="https://drive.google.com/drive/folders/1DkdLMZMPHAhFhAZ9GXIrBcHDd6228xRB?usp=sharing" TargetMode="External"/><Relationship Id="rId40" Type="http://schemas.openxmlformats.org/officeDocument/2006/relationships/hyperlink" Target="https://drive.google.com/drive/folders/1DkdLMZMPHAhFhAZ9GXIrBcHDd6228xRB?usp=sharing" TargetMode="External"/><Relationship Id="rId42" Type="http://schemas.openxmlformats.org/officeDocument/2006/relationships/hyperlink" Target="https://drive.google.com/drive/folders/1DkdLMZMPHAhFhAZ9GXIrBcHDd6228xRB?usp=sharing" TargetMode="External"/><Relationship Id="rId41" Type="http://schemas.openxmlformats.org/officeDocument/2006/relationships/hyperlink" Target="https://drive.google.com/drive/folders/1DkdLMZMPHAhFhAZ9GXIrBcHDd6228xRB?usp=sharing" TargetMode="External"/><Relationship Id="rId44" Type="http://schemas.openxmlformats.org/officeDocument/2006/relationships/hyperlink" Target="https://drive.google.com/drive/folders/1DkdLMZMPHAhFhAZ9GXIrBcHDd6228xRB?usp=sharing" TargetMode="External"/><Relationship Id="rId43" Type="http://schemas.openxmlformats.org/officeDocument/2006/relationships/hyperlink" Target="https://drive.google.com/drive/folders/1DkdLMZMPHAhFhAZ9GXIrBcHDd6228xRB?usp=sharing" TargetMode="External"/><Relationship Id="rId46" Type="http://schemas.openxmlformats.org/officeDocument/2006/relationships/hyperlink" Target="https://drive.google.com/drive/folders/1DkdLMZMPHAhFhAZ9GXIrBcHDd6228xRB?usp=sharing" TargetMode="External"/><Relationship Id="rId45" Type="http://schemas.openxmlformats.org/officeDocument/2006/relationships/hyperlink" Target="https://drive.google.com/drive/folders/1DkdLMZMPHAhFhAZ9GXIrBcHDd6228xRB?usp=sharing" TargetMode="External"/><Relationship Id="rId48" Type="http://schemas.openxmlformats.org/officeDocument/2006/relationships/hyperlink" Target="https://drive.google.com/drive/folders/1DkdLMZMPHAhFhAZ9GXIrBcHDd6228xRB?usp=sharing" TargetMode="External"/><Relationship Id="rId47" Type="http://schemas.openxmlformats.org/officeDocument/2006/relationships/hyperlink" Target="https://drive.google.com/drive/folders/1DkdLMZMPHAhFhAZ9GXIrBcHDd6228xRB?usp=sharing" TargetMode="External"/><Relationship Id="rId49" Type="http://schemas.openxmlformats.org/officeDocument/2006/relationships/hyperlink" Target="https://drive.google.com/drive/folders/1DkdLMZMPHAhFhAZ9GXIrBcHDd6228xRB?usp=sharing" TargetMode="External"/><Relationship Id="rId31" Type="http://schemas.openxmlformats.org/officeDocument/2006/relationships/hyperlink" Target="https://drive.google.com/drive/folders/1DkdLMZMPHAhFhAZ9GXIrBcHDd6228xRB?usp=sharing" TargetMode="External"/><Relationship Id="rId30" Type="http://schemas.openxmlformats.org/officeDocument/2006/relationships/hyperlink" Target="https://drive.google.com/drive/folders/1DkdLMZMPHAhFhAZ9GXIrBcHDd6228xRB?usp=sharing" TargetMode="External"/><Relationship Id="rId33" Type="http://schemas.openxmlformats.org/officeDocument/2006/relationships/hyperlink" Target="https://drive.google.com/drive/folders/1DkdLMZMPHAhFhAZ9GXIrBcHDd6228xRB?usp=sharing" TargetMode="External"/><Relationship Id="rId32" Type="http://schemas.openxmlformats.org/officeDocument/2006/relationships/hyperlink" Target="https://drive.google.com/drive/folders/1DkdLMZMPHAhFhAZ9GXIrBcHDd6228xRB?usp=sharing" TargetMode="External"/><Relationship Id="rId35" Type="http://schemas.openxmlformats.org/officeDocument/2006/relationships/hyperlink" Target="https://drive.google.com/drive/folders/1DkdLMZMPHAhFhAZ9GXIrBcHDd6228xRB?usp=sharing" TargetMode="External"/><Relationship Id="rId34" Type="http://schemas.openxmlformats.org/officeDocument/2006/relationships/hyperlink" Target="https://drive.google.com/drive/folders/1DkdLMZMPHAhFhAZ9GXIrBcHDd6228xRB?usp=sharing" TargetMode="External"/><Relationship Id="rId37" Type="http://schemas.openxmlformats.org/officeDocument/2006/relationships/hyperlink" Target="https://drive.google.com/drive/folders/1DkdLMZMPHAhFhAZ9GXIrBcHDd6228xRB?usp=sharing" TargetMode="External"/><Relationship Id="rId36" Type="http://schemas.openxmlformats.org/officeDocument/2006/relationships/hyperlink" Target="https://drive.google.com/drive/folders/1DkdLMZMPHAhFhAZ9GXIrBcHDd6228xRB?usp=sharing" TargetMode="External"/><Relationship Id="rId39" Type="http://schemas.openxmlformats.org/officeDocument/2006/relationships/hyperlink" Target="https://drive.google.com/drive/folders/1DkdLMZMPHAhFhAZ9GXIrBcHDd6228xRB?usp=sharing" TargetMode="External"/><Relationship Id="rId38" Type="http://schemas.openxmlformats.org/officeDocument/2006/relationships/hyperlink" Target="https://drive.google.com/drive/folders/1DkdLMZMPHAhFhAZ9GXIrBcHDd6228xRB?usp=sharing" TargetMode="External"/><Relationship Id="rId20" Type="http://schemas.openxmlformats.org/officeDocument/2006/relationships/hyperlink" Target="https://drive.google.com/drive/folders/1DkdLMZMPHAhFhAZ9GXIrBcHDd6228xRB?usp=sharing" TargetMode="External"/><Relationship Id="rId22" Type="http://schemas.openxmlformats.org/officeDocument/2006/relationships/hyperlink" Target="https://drive.google.com/drive/folders/1DkdLMZMPHAhFhAZ9GXIrBcHDd6228xRB?usp=sharing" TargetMode="External"/><Relationship Id="rId21" Type="http://schemas.openxmlformats.org/officeDocument/2006/relationships/hyperlink" Target="https://bahasan.org/admin.php" TargetMode="External"/><Relationship Id="rId24" Type="http://schemas.openxmlformats.org/officeDocument/2006/relationships/hyperlink" Target="http://m.sc/" TargetMode="External"/><Relationship Id="rId23" Type="http://schemas.openxmlformats.org/officeDocument/2006/relationships/hyperlink" Target="https://whas.web.id/" TargetMode="External"/><Relationship Id="rId26" Type="http://schemas.openxmlformats.org/officeDocument/2006/relationships/hyperlink" Target="https://docs.google.com/presentation/d/1uyVQQO9UWWmW1DxU4MFMvyfPPU28vCNZ/edit?usp=sharing&amp;ouid=101798751124829282603&amp;rtpof=true&amp;sd=true" TargetMode="External"/><Relationship Id="rId25" Type="http://schemas.openxmlformats.org/officeDocument/2006/relationships/hyperlink" Target="https://drive.google.com/drive/folders/1DkdLMZMPHAhFhAZ9GXIrBcHDd6228xRB?usp=sharing" TargetMode="External"/><Relationship Id="rId28" Type="http://schemas.openxmlformats.org/officeDocument/2006/relationships/hyperlink" Target="https://drive.google.com/drive/folders/1DkdLMZMPHAhFhAZ9GXIrBcHDd6228xRB?usp=sharing" TargetMode="External"/><Relationship Id="rId27" Type="http://schemas.openxmlformats.org/officeDocument/2006/relationships/hyperlink" Target="https://drive.google.com/drive/folders/1DkdLMZMPHAhFhAZ9GXIrBcHDd6228xRB?usp=sharing" TargetMode="External"/><Relationship Id="rId29" Type="http://schemas.openxmlformats.org/officeDocument/2006/relationships/hyperlink" Target="https://drive.google.com/drive/folders/1DkdLMZMPHAhFhAZ9GXIrBcHDd6228xRB?usp=sharing" TargetMode="External"/><Relationship Id="rId11" Type="http://schemas.openxmlformats.org/officeDocument/2006/relationships/hyperlink" Target="https://drive.google.com/drive/folders/1DkdLMZMPHAhFhAZ9GXIrBcHDd6228xRB?usp=sharing" TargetMode="External"/><Relationship Id="rId10" Type="http://schemas.openxmlformats.org/officeDocument/2006/relationships/hyperlink" Target="https://drive.google.com/drive/folders/1DkdLMZMPHAhFhAZ9GXIrBcHDd6228xRB?usp=sharing" TargetMode="External"/><Relationship Id="rId13" Type="http://schemas.openxmlformats.org/officeDocument/2006/relationships/hyperlink" Target="https://drive.google.com/drive/folders/1DkdLMZMPHAhFhAZ9GXIrBcHDd6228xRB?usp=sharing" TargetMode="External"/><Relationship Id="rId12" Type="http://schemas.openxmlformats.org/officeDocument/2006/relationships/hyperlink" Target="https://drive.google.com/drive/folders/1DkdLMZMPHAhFhAZ9GXIrBcHDd6228xRB?usp=sharing" TargetMode="External"/><Relationship Id="rId15" Type="http://schemas.openxmlformats.org/officeDocument/2006/relationships/hyperlink" Target="https://docs.google.com/presentation/d/1OxYFIML7YBXhZrYQJm5-WWVXHOhWYE-B/edit?usp=sharing&amp;ouid=101798751124829282603&amp;rtpof=true&amp;sd=true" TargetMode="External"/><Relationship Id="rId14" Type="http://schemas.openxmlformats.org/officeDocument/2006/relationships/hyperlink" Target="https://drive.google.com/drive/folders/1DkdLMZMPHAhFhAZ9GXIrBcHDd6228xRB?usp=sharing" TargetMode="External"/><Relationship Id="rId17" Type="http://schemas.openxmlformats.org/officeDocument/2006/relationships/hyperlink" Target="https://drive.google.com/drive/folders/1DkdLMZMPHAhFhAZ9GXIrBcHDd6228xRB?usp=sharing" TargetMode="External"/><Relationship Id="rId16" Type="http://schemas.openxmlformats.org/officeDocument/2006/relationships/hyperlink" Target="https://metaspeak.id/" TargetMode="External"/><Relationship Id="rId19" Type="http://schemas.openxmlformats.org/officeDocument/2006/relationships/hyperlink" Target="https://drive.google.com/drive/folders/1DkdLMZMPHAhFhAZ9GXIrBcHDd6228xRB?usp=sharing" TargetMode="External"/><Relationship Id="rId18" Type="http://schemas.openxmlformats.org/officeDocument/2006/relationships/hyperlink" Target="https://drive.google.com/drive/folders/1DkdLMZMPHAhFhAZ9GXIrBcHDd6228xRB?usp=sharing" TargetMode="External"/><Relationship Id="rId51" Type="http://schemas.openxmlformats.org/officeDocument/2006/relationships/hyperlink" Target="https://drive.google.com/drive/folders/1DkdLMZMPHAhFhAZ9GXIrBcHDd6228xRB?usp=sharing" TargetMode="External"/><Relationship Id="rId50" Type="http://schemas.openxmlformats.org/officeDocument/2006/relationships/hyperlink" Target="https://drive.google.com/drive/folders/1DkdLMZMPHAhFhAZ9GXIrBcHDd6228xRB?usp=sharing" TargetMode="External"/><Relationship Id="rId53" Type="http://schemas.openxmlformats.org/officeDocument/2006/relationships/hyperlink" Target="https://drive.google.com/drive/folders/1DkdLMZMPHAhFhAZ9GXIrBcHDd6228xRB?usp=sharing" TargetMode="External"/><Relationship Id="rId52" Type="http://schemas.openxmlformats.org/officeDocument/2006/relationships/hyperlink" Target="https://drive.google.com/drive/folders/1DkdLMZMPHAhFhAZ9GXIrBcHDd6228xRB?usp=sharing" TargetMode="External"/><Relationship Id="rId55" Type="http://schemas.openxmlformats.org/officeDocument/2006/relationships/hyperlink" Target="https://drive.google.com/drive/folders/1DkdLMZMPHAhFhAZ9GXIrBcHDd6228xRB?usp=sharing" TargetMode="External"/><Relationship Id="rId54" Type="http://schemas.openxmlformats.org/officeDocument/2006/relationships/hyperlink" Target="https://drive.google.com/drive/folders/1DkdLMZMPHAhFhAZ9GXIrBcHDd6228xRB?usp=sharing" TargetMode="External"/><Relationship Id="rId57" Type="http://schemas.openxmlformats.org/officeDocument/2006/relationships/drawing" Target="../drawings/drawing3.xml"/><Relationship Id="rId56" Type="http://schemas.openxmlformats.org/officeDocument/2006/relationships/hyperlink" Target="https://drive.google.com/drive/folders/1DkdLMZMPHAhFhAZ9GXIrBcHDd6228xRB?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drive/folders/1Y6uqx9ohk-z13XhP8w5bdsGsGr8hGYix?usp=sharing" TargetMode="External"/><Relationship Id="rId2" Type="http://schemas.openxmlformats.org/officeDocument/2006/relationships/hyperlink" Target="http://m.si/" TargetMode="External"/><Relationship Id="rId3" Type="http://schemas.openxmlformats.org/officeDocument/2006/relationships/hyperlink" Target="https://drive.google.com/drive/folders/1Y6uqx9ohk-z13XhP8w5bdsGsGr8hGYix?usp=sharing" TargetMode="External"/><Relationship Id="rId4" Type="http://schemas.openxmlformats.org/officeDocument/2006/relationships/hyperlink" Target="https://drive.google.com/drive/folders/1Y6uqx9ohk-z13XhP8w5bdsGsGr8hGYix?usp=sharing" TargetMode="External"/><Relationship Id="rId9" Type="http://schemas.openxmlformats.org/officeDocument/2006/relationships/hyperlink" Target="https://drive.google.com/drive/folders/1Y6uqx9ohk-z13XhP8w5bdsGsGr8hGYix?usp=sharing" TargetMode="External"/><Relationship Id="rId5" Type="http://schemas.openxmlformats.org/officeDocument/2006/relationships/hyperlink" Target="https://drive.google.com/drive/folders/1Y6uqx9ohk-z13XhP8w5bdsGsGr8hGYix?usp=sharing" TargetMode="External"/><Relationship Id="rId6" Type="http://schemas.openxmlformats.org/officeDocument/2006/relationships/hyperlink" Target="https://drive.google.com/drive/folders/1Y6uqx9ohk-z13XhP8w5bdsGsGr8hGYix?usp=sharing" TargetMode="External"/><Relationship Id="rId7" Type="http://schemas.openxmlformats.org/officeDocument/2006/relationships/hyperlink" Target="https://drive.google.com/drive/folders/1Y6uqx9ohk-z13XhP8w5bdsGsGr8hGYix?usp=sharing" TargetMode="External"/><Relationship Id="rId8" Type="http://schemas.openxmlformats.org/officeDocument/2006/relationships/hyperlink" Target="https://drive.google.com/drive/folders/1Y6uqx9ohk-z13XhP8w5bdsGsGr8hGYix?usp=sharing" TargetMode="External"/><Relationship Id="rId40" Type="http://schemas.openxmlformats.org/officeDocument/2006/relationships/hyperlink" Target="https://drive.google.com/drive/folders/1Y6uqx9ohk-z13XhP8w5bdsGsGr8hGYix?usp=sharing" TargetMode="External"/><Relationship Id="rId42" Type="http://schemas.openxmlformats.org/officeDocument/2006/relationships/hyperlink" Target="https://drive.google.com/drive/folders/1Y6uqx9ohk-z13XhP8w5bdsGsGr8hGYix?usp=sharing" TargetMode="External"/><Relationship Id="rId41" Type="http://schemas.openxmlformats.org/officeDocument/2006/relationships/hyperlink" Target="https://drive.google.com/drive/folders/1Y6uqx9ohk-z13XhP8w5bdsGsGr8hGYix?usp=sharing" TargetMode="External"/><Relationship Id="rId44" Type="http://schemas.openxmlformats.org/officeDocument/2006/relationships/hyperlink" Target="https://drive.google.com/drive/folders/1Y6uqx9ohk-z13XhP8w5bdsGsGr8hGYix?usp=sharing" TargetMode="External"/><Relationship Id="rId43" Type="http://schemas.openxmlformats.org/officeDocument/2006/relationships/hyperlink" Target="https://drive.google.com/drive/folders/1Y6uqx9ohk-z13XhP8w5bdsGsGr8hGYix?usp=sharing" TargetMode="External"/><Relationship Id="rId46" Type="http://schemas.openxmlformats.org/officeDocument/2006/relationships/hyperlink" Target="https://drive.google.com/drive/folders/1Y6uqx9ohk-z13XhP8w5bdsGsGr8hGYix?usp=sharing" TargetMode="External"/><Relationship Id="rId45" Type="http://schemas.openxmlformats.org/officeDocument/2006/relationships/hyperlink" Target="https://drive.google.com/drive/folders/1Y6uqx9ohk-z13XhP8w5bdsGsGr8hGYix?usp=sharing" TargetMode="External"/><Relationship Id="rId48" Type="http://schemas.openxmlformats.org/officeDocument/2006/relationships/hyperlink" Target="https://drive.google.com/drive/folders/1Y6uqx9ohk-z13XhP8w5bdsGsGr8hGYix?usp=sharing" TargetMode="External"/><Relationship Id="rId47" Type="http://schemas.openxmlformats.org/officeDocument/2006/relationships/hyperlink" Target="https://drive.google.com/drive/folders/1Y6uqx9ohk-z13XhP8w5bdsGsGr8hGYix?usp=sharing" TargetMode="External"/><Relationship Id="rId49" Type="http://schemas.openxmlformats.org/officeDocument/2006/relationships/hyperlink" Target="https://drive.google.com/drive/folders/1Y6uqx9ohk-z13XhP8w5bdsGsGr8hGYix?usp=sharing" TargetMode="External"/><Relationship Id="rId31" Type="http://schemas.openxmlformats.org/officeDocument/2006/relationships/hyperlink" Target="https://drive.google.com/drive/folders/1Y6uqx9ohk-z13XhP8w5bdsGsGr8hGYix?usp=sharing" TargetMode="External"/><Relationship Id="rId30" Type="http://schemas.openxmlformats.org/officeDocument/2006/relationships/hyperlink" Target="https://drive.google.com/file/d/15vetkZLxLb4v40TWFMPKl6eGZWGbt4gt/view?usp=sharing" TargetMode="External"/><Relationship Id="rId33" Type="http://schemas.openxmlformats.org/officeDocument/2006/relationships/hyperlink" Target="https://drive.google.com/drive/folders/1Y6uqx9ohk-z13XhP8w5bdsGsGr8hGYix?usp=sharing" TargetMode="External"/><Relationship Id="rId32" Type="http://schemas.openxmlformats.org/officeDocument/2006/relationships/hyperlink" Target="https://drive.google.com/file/d/1SrmbjpjDmkcEIXdY9ac88EcrssWi2U6W/view?usp=sharing" TargetMode="External"/><Relationship Id="rId35" Type="http://schemas.openxmlformats.org/officeDocument/2006/relationships/hyperlink" Target="https://drive.google.com/drive/folders/1Y6uqx9ohk-z13XhP8w5bdsGsGr8hGYix?usp=sharing" TargetMode="External"/><Relationship Id="rId34" Type="http://schemas.openxmlformats.org/officeDocument/2006/relationships/hyperlink" Target="https://drive.google.com/file/d/1EEFLk2yb8h-k1uOdj7aTJBmN83Ic85Rj/view?usp=sharing" TargetMode="External"/><Relationship Id="rId37" Type="http://schemas.openxmlformats.org/officeDocument/2006/relationships/hyperlink" Target="https://drive.google.com/drive/folders/1Y6uqx9ohk-z13XhP8w5bdsGsGr8hGYix?usp=sharing" TargetMode="External"/><Relationship Id="rId36" Type="http://schemas.openxmlformats.org/officeDocument/2006/relationships/hyperlink" Target="https://drive.google.com/file/d/1zj6pazg4VAOViO0wUiNq9ZcKrU25Z_3c/view?usp=sharing" TargetMode="External"/><Relationship Id="rId39" Type="http://schemas.openxmlformats.org/officeDocument/2006/relationships/hyperlink" Target="https://drive.google.com/drive/folders/1Y6uqx9ohk-z13XhP8w5bdsGsGr8hGYix?usp=sharing" TargetMode="External"/><Relationship Id="rId38" Type="http://schemas.openxmlformats.org/officeDocument/2006/relationships/hyperlink" Target="https://drive.google.com/drive/folders/1Y6uqx9ohk-z13XhP8w5bdsGsGr8hGYix?usp=sharing" TargetMode="External"/><Relationship Id="rId20" Type="http://schemas.openxmlformats.org/officeDocument/2006/relationships/hyperlink" Target="https://drive.google.com/drive/folders/1Y6uqx9ohk-z13XhP8w5bdsGsGr8hGYix?usp=sharing" TargetMode="External"/><Relationship Id="rId22" Type="http://schemas.openxmlformats.org/officeDocument/2006/relationships/hyperlink" Target="https://drive.google.com/drive/folders/1Y6uqx9ohk-z13XhP8w5bdsGsGr8hGYix?usp=sharing" TargetMode="External"/><Relationship Id="rId21" Type="http://schemas.openxmlformats.org/officeDocument/2006/relationships/hyperlink" Target="https://drive.google.com/drive/folders/1Y6uqx9ohk-z13XhP8w5bdsGsGr8hGYix?usp=sharing" TargetMode="External"/><Relationship Id="rId24" Type="http://schemas.openxmlformats.org/officeDocument/2006/relationships/hyperlink" Target="https://drive.google.com/drive/folders/1Y6uqx9ohk-z13XhP8w5bdsGsGr8hGYix?usp=sharing" TargetMode="External"/><Relationship Id="rId23" Type="http://schemas.openxmlformats.org/officeDocument/2006/relationships/hyperlink" Target="https://drive.google.com/drive/folders/1Y6uqx9ohk-z13XhP8w5bdsGsGr8hGYix?usp=sharing" TargetMode="External"/><Relationship Id="rId26" Type="http://schemas.openxmlformats.org/officeDocument/2006/relationships/hyperlink" Target="http://s.si/" TargetMode="External"/><Relationship Id="rId25" Type="http://schemas.openxmlformats.org/officeDocument/2006/relationships/hyperlink" Target="https://drive.google.com/file/d/1-ov_KdrlrWdZvJq_D7ymObQNTEugv90z/view?usp=sharing" TargetMode="External"/><Relationship Id="rId28" Type="http://schemas.openxmlformats.org/officeDocument/2006/relationships/hyperlink" Target="https://drive.google.com/file/d/1-ov_KdrlrWdZvJq_D7ymObQNTEugv90z/view?usp=sharing" TargetMode="External"/><Relationship Id="rId27" Type="http://schemas.openxmlformats.org/officeDocument/2006/relationships/hyperlink" Target="https://drive.google.com/drive/folders/1Y6uqx9ohk-z13XhP8w5bdsGsGr8hGYix?usp=sharing" TargetMode="External"/><Relationship Id="rId29" Type="http://schemas.openxmlformats.org/officeDocument/2006/relationships/hyperlink" Target="https://drive.google.com/drive/folders/1Y6uqx9ohk-z13XhP8w5bdsGsGr8hGYix?usp=sharing" TargetMode="External"/><Relationship Id="rId11" Type="http://schemas.openxmlformats.org/officeDocument/2006/relationships/hyperlink" Target="https://drive.google.com/drive/folders/1Y6uqx9ohk-z13XhP8w5bdsGsGr8hGYix?usp=sharing" TargetMode="External"/><Relationship Id="rId10" Type="http://schemas.openxmlformats.org/officeDocument/2006/relationships/hyperlink" Target="https://drive.google.com/drive/folders/1Y6uqx9ohk-z13XhP8w5bdsGsGr8hGYix?usp=sharing" TargetMode="External"/><Relationship Id="rId13" Type="http://schemas.openxmlformats.org/officeDocument/2006/relationships/hyperlink" Target="https://drive.google.com/drive/folders/1Y6uqx9ohk-z13XhP8w5bdsGsGr8hGYix?usp=sharing" TargetMode="External"/><Relationship Id="rId12" Type="http://schemas.openxmlformats.org/officeDocument/2006/relationships/hyperlink" Target="https://drive.google.com/drive/folders/1Y6uqx9ohk-z13XhP8w5bdsGsGr8hGYix?usp=sharing" TargetMode="External"/><Relationship Id="rId15" Type="http://schemas.openxmlformats.org/officeDocument/2006/relationships/hyperlink" Target="https://drive.google.com/file/d/1NP7ai1VXe33CIVGW4JGzE8QjOwBrwADr/view?usp=sharing" TargetMode="External"/><Relationship Id="rId14" Type="http://schemas.openxmlformats.org/officeDocument/2006/relationships/hyperlink" Target="https://drive.google.com/drive/folders/1Y6uqx9ohk-z13XhP8w5bdsGsGr8hGYix?usp=sharing" TargetMode="External"/><Relationship Id="rId17" Type="http://schemas.openxmlformats.org/officeDocument/2006/relationships/hyperlink" Target="https://drive.google.com/drive/folders/1Y6uqx9ohk-z13XhP8w5bdsGsGr8hGYix?usp=sharing" TargetMode="External"/><Relationship Id="rId16" Type="http://schemas.openxmlformats.org/officeDocument/2006/relationships/hyperlink" Target="https://drive.google.com/drive/folders/1Y6uqx9ohk-z13XhP8w5bdsGsGr8hGYix?usp=sharing" TargetMode="External"/><Relationship Id="rId19" Type="http://schemas.openxmlformats.org/officeDocument/2006/relationships/hyperlink" Target="https://drive.google.com/drive/folders/1Y6uqx9ohk-z13XhP8w5bdsGsGr8hGYix?usp=sharing" TargetMode="External"/><Relationship Id="rId18" Type="http://schemas.openxmlformats.org/officeDocument/2006/relationships/hyperlink" Target="https://drive.google.com/file/d/192bTP6yRvFWvjeB34lTfShbA1jfGnrTs/view?usp=drive_link" TargetMode="External"/><Relationship Id="rId73" Type="http://schemas.openxmlformats.org/officeDocument/2006/relationships/hyperlink" Target="https://drive.google.com/drive/folders/1Y6uqx9ohk-z13XhP8w5bdsGsGr8hGYix?usp=sharing" TargetMode="External"/><Relationship Id="rId72" Type="http://schemas.openxmlformats.org/officeDocument/2006/relationships/hyperlink" Target="https://drive.google.com/drive/folders/1Y6uqx9ohk-z13XhP8w5bdsGsGr8hGYix?usp=sharing" TargetMode="External"/><Relationship Id="rId75" Type="http://schemas.openxmlformats.org/officeDocument/2006/relationships/hyperlink" Target="https://drive.google.com/drive/folders/1Y6uqx9ohk-z13XhP8w5bdsGsGr8hGYix?usp=sharing" TargetMode="External"/><Relationship Id="rId74" Type="http://schemas.openxmlformats.org/officeDocument/2006/relationships/hyperlink" Target="https://drive.google.com/drive/folders/1Y6uqx9ohk-z13XhP8w5bdsGsGr8hGYix?usp=sharing" TargetMode="External"/><Relationship Id="rId77" Type="http://schemas.openxmlformats.org/officeDocument/2006/relationships/drawing" Target="../drawings/drawing4.xml"/><Relationship Id="rId76" Type="http://schemas.openxmlformats.org/officeDocument/2006/relationships/hyperlink" Target="https://drive.google.com/drive/folders/1Y6uqx9ohk-z13XhP8w5bdsGsGr8hGYix?usp=sharing" TargetMode="External"/><Relationship Id="rId71" Type="http://schemas.openxmlformats.org/officeDocument/2006/relationships/hyperlink" Target="https://drive.google.com/drive/folders/1Y6uqx9ohk-z13XhP8w5bdsGsGr8hGYix?usp=sharing" TargetMode="External"/><Relationship Id="rId70" Type="http://schemas.openxmlformats.org/officeDocument/2006/relationships/hyperlink" Target="https://drive.google.com/drive/folders/1Y6uqx9ohk-z13XhP8w5bdsGsGr8hGYix?usp=sharing" TargetMode="External"/><Relationship Id="rId62" Type="http://schemas.openxmlformats.org/officeDocument/2006/relationships/hyperlink" Target="https://drive.google.com/drive/folders/1Y6uqx9ohk-z13XhP8w5bdsGsGr8hGYix?usp=sharing" TargetMode="External"/><Relationship Id="rId61" Type="http://schemas.openxmlformats.org/officeDocument/2006/relationships/hyperlink" Target="https://drive.google.com/drive/folders/1Y6uqx9ohk-z13XhP8w5bdsGsGr8hGYix?usp=sharing" TargetMode="External"/><Relationship Id="rId64" Type="http://schemas.openxmlformats.org/officeDocument/2006/relationships/hyperlink" Target="https://drive.google.com/drive/folders/1Y6uqx9ohk-z13XhP8w5bdsGsGr8hGYix?usp=sharing" TargetMode="External"/><Relationship Id="rId63" Type="http://schemas.openxmlformats.org/officeDocument/2006/relationships/hyperlink" Target="https://drive.google.com/drive/folders/1Y6uqx9ohk-z13XhP8w5bdsGsGr8hGYix?usp=sharing" TargetMode="External"/><Relationship Id="rId66" Type="http://schemas.openxmlformats.org/officeDocument/2006/relationships/hyperlink" Target="https://drive.google.com/drive/folders/1Y6uqx9ohk-z13XhP8w5bdsGsGr8hGYix?usp=sharing" TargetMode="External"/><Relationship Id="rId65" Type="http://schemas.openxmlformats.org/officeDocument/2006/relationships/hyperlink" Target="https://drive.google.com/drive/folders/1Y6uqx9ohk-z13XhP8w5bdsGsGr8hGYix?usp=sharing" TargetMode="External"/><Relationship Id="rId68" Type="http://schemas.openxmlformats.org/officeDocument/2006/relationships/hyperlink" Target="https://drive.google.com/drive/folders/1Y6uqx9ohk-z13XhP8w5bdsGsGr8hGYix?usp=sharing" TargetMode="External"/><Relationship Id="rId67" Type="http://schemas.openxmlformats.org/officeDocument/2006/relationships/hyperlink" Target="https://drive.google.com/drive/folders/1Y6uqx9ohk-z13XhP8w5bdsGsGr8hGYix?usp=sharing" TargetMode="External"/><Relationship Id="rId60" Type="http://schemas.openxmlformats.org/officeDocument/2006/relationships/hyperlink" Target="https://drive.google.com/drive/folders/1Y6uqx9ohk-z13XhP8w5bdsGsGr8hGYix?usp=sharing" TargetMode="External"/><Relationship Id="rId69" Type="http://schemas.openxmlformats.org/officeDocument/2006/relationships/hyperlink" Target="https://drive.google.com/drive/folders/1Y6uqx9ohk-z13XhP8w5bdsGsGr8hGYix?usp=sharing" TargetMode="External"/><Relationship Id="rId51" Type="http://schemas.openxmlformats.org/officeDocument/2006/relationships/hyperlink" Target="https://drive.google.com/drive/folders/1Y6uqx9ohk-z13XhP8w5bdsGsGr8hGYix?usp=sharing" TargetMode="External"/><Relationship Id="rId50" Type="http://schemas.openxmlformats.org/officeDocument/2006/relationships/hyperlink" Target="https://drive.google.com/drive/folders/1Y6uqx9ohk-z13XhP8w5bdsGsGr8hGYix?usp=sharing" TargetMode="External"/><Relationship Id="rId53" Type="http://schemas.openxmlformats.org/officeDocument/2006/relationships/hyperlink" Target="https://drive.google.com/drive/folders/1Y6uqx9ohk-z13XhP8w5bdsGsGr8hGYix?usp=sharing" TargetMode="External"/><Relationship Id="rId52" Type="http://schemas.openxmlformats.org/officeDocument/2006/relationships/hyperlink" Target="https://drive.google.com/drive/folders/1Y6uqx9ohk-z13XhP8w5bdsGsGr8hGYix?usp=sharing" TargetMode="External"/><Relationship Id="rId55" Type="http://schemas.openxmlformats.org/officeDocument/2006/relationships/hyperlink" Target="https://drive.google.com/drive/folders/1Y6uqx9ohk-z13XhP8w5bdsGsGr8hGYix?usp=sharing" TargetMode="External"/><Relationship Id="rId54" Type="http://schemas.openxmlformats.org/officeDocument/2006/relationships/hyperlink" Target="https://drive.google.com/drive/folders/1Y6uqx9ohk-z13XhP8w5bdsGsGr8hGYix?usp=sharing" TargetMode="External"/><Relationship Id="rId57" Type="http://schemas.openxmlformats.org/officeDocument/2006/relationships/hyperlink" Target="https://drive.google.com/drive/folders/1Y6uqx9ohk-z13XhP8w5bdsGsGr8hGYix?usp=sharing" TargetMode="External"/><Relationship Id="rId56" Type="http://schemas.openxmlformats.org/officeDocument/2006/relationships/hyperlink" Target="https://drive.google.com/drive/folders/1Y6uqx9ohk-z13XhP8w5bdsGsGr8hGYix?usp=sharing" TargetMode="External"/><Relationship Id="rId59" Type="http://schemas.openxmlformats.org/officeDocument/2006/relationships/hyperlink" Target="https://drive.google.com/drive/folders/1Y6uqx9ohk-z13XhP8w5bdsGsGr8hGYix?usp=sharing" TargetMode="External"/><Relationship Id="rId58" Type="http://schemas.openxmlformats.org/officeDocument/2006/relationships/hyperlink" Target="https://drive.google.com/drive/folders/1Y6uqx9ohk-z13XhP8w5bdsGsGr8hGYix?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drive/folders/11tcz-w9DrTGGk-RZ1fCWTdFNNo3ofaBw?usp=sharing" TargetMode="External"/><Relationship Id="rId2" Type="http://schemas.openxmlformats.org/officeDocument/2006/relationships/hyperlink" Target="https://drive.google.com/file/d/1LpM8nmhGKV1cgfAxtnFkU6nvvwGJWDMC/view?usp=sharing" TargetMode="External"/><Relationship Id="rId3" Type="http://schemas.openxmlformats.org/officeDocument/2006/relationships/hyperlink" Target="https://drive.google.com/file/d/1iC5uZ03RQ_x0jmMdr9ezun8OchWgc2pM/view?usp=sharing" TargetMode="External"/><Relationship Id="rId4" Type="http://schemas.openxmlformats.org/officeDocument/2006/relationships/hyperlink" Target="https://drive.google.com/drive/folders/11tcz-w9DrTGGk-RZ1fCWTdFNNo3ofaBw?usp=sharing" TargetMode="External"/><Relationship Id="rId9" Type="http://schemas.openxmlformats.org/officeDocument/2006/relationships/hyperlink" Target="https://drive.google.com/drive/folders/11tcz-w9DrTGGk-RZ1fCWTdFNNo3ofaBw?usp=sharing" TargetMode="External"/><Relationship Id="rId5" Type="http://schemas.openxmlformats.org/officeDocument/2006/relationships/hyperlink" Target="https://drive.google.com/file/d/1ypZ4YlPvBD-wq_bVaEQWxdMK9a2fgVw3/view?usp=sharing" TargetMode="External"/><Relationship Id="rId6" Type="http://schemas.openxmlformats.org/officeDocument/2006/relationships/hyperlink" Target="https://drive.google.com/drive/folders/11tcz-w9DrTGGk-RZ1fCWTdFNNo3ofaBw?usp=sharing" TargetMode="External"/><Relationship Id="rId7" Type="http://schemas.openxmlformats.org/officeDocument/2006/relationships/hyperlink" Target="https://drive.google.com/drive/folders/11tcz-w9DrTGGk-RZ1fCWTdFNNo3ofaBw?usp=sharing" TargetMode="External"/><Relationship Id="rId8" Type="http://schemas.openxmlformats.org/officeDocument/2006/relationships/hyperlink" Target="https://drive.google.com/file/d/10bhPsaEp0999xknFNKKyFznpITiMOrv1/view?usp=sharing" TargetMode="External"/><Relationship Id="rId31" Type="http://schemas.openxmlformats.org/officeDocument/2006/relationships/drawing" Target="../drawings/drawing5.xml"/><Relationship Id="rId30" Type="http://schemas.openxmlformats.org/officeDocument/2006/relationships/hyperlink" Target="https://drive.google.com/drive/folders/11tcz-w9DrTGGk-RZ1fCWTdFNNo3ofaBw?usp=sharing" TargetMode="External"/><Relationship Id="rId20" Type="http://schemas.openxmlformats.org/officeDocument/2006/relationships/hyperlink" Target="https://drive.google.com/drive/folders/11tcz-w9DrTGGk-RZ1fCWTdFNNo3ofaBw?usp=sharing" TargetMode="External"/><Relationship Id="rId22" Type="http://schemas.openxmlformats.org/officeDocument/2006/relationships/hyperlink" Target="https://drive.google.com/drive/folders/11tcz-w9DrTGGk-RZ1fCWTdFNNo3ofaBw?usp=sharing" TargetMode="External"/><Relationship Id="rId21" Type="http://schemas.openxmlformats.org/officeDocument/2006/relationships/hyperlink" Target="https://drive.google.com/drive/folders/11tcz-w9DrTGGk-RZ1fCWTdFNNo3ofaBw?usp=sharing" TargetMode="External"/><Relationship Id="rId24" Type="http://schemas.openxmlformats.org/officeDocument/2006/relationships/hyperlink" Target="https://drive.google.com/drive/folders/11tcz-w9DrTGGk-RZ1fCWTdFNNo3ofaBw?usp=sharing" TargetMode="External"/><Relationship Id="rId23" Type="http://schemas.openxmlformats.org/officeDocument/2006/relationships/hyperlink" Target="https://drive.google.com/drive/folders/11tcz-w9DrTGGk-RZ1fCWTdFNNo3ofaBw?usp=sharing" TargetMode="External"/><Relationship Id="rId26" Type="http://schemas.openxmlformats.org/officeDocument/2006/relationships/hyperlink" Target="https://drive.google.com/drive/folders/11tcz-w9DrTGGk-RZ1fCWTdFNNo3ofaBw?usp=sharing" TargetMode="External"/><Relationship Id="rId25" Type="http://schemas.openxmlformats.org/officeDocument/2006/relationships/hyperlink" Target="https://drive.google.com/drive/folders/11tcz-w9DrTGGk-RZ1fCWTdFNNo3ofaBw?usp=sharing" TargetMode="External"/><Relationship Id="rId28" Type="http://schemas.openxmlformats.org/officeDocument/2006/relationships/hyperlink" Target="https://drive.google.com/drive/folders/11tcz-w9DrTGGk-RZ1fCWTdFNNo3ofaBw?usp=sharing" TargetMode="External"/><Relationship Id="rId27" Type="http://schemas.openxmlformats.org/officeDocument/2006/relationships/hyperlink" Target="https://drive.google.com/drive/folders/11tcz-w9DrTGGk-RZ1fCWTdFNNo3ofaBw?usp=sharing" TargetMode="External"/><Relationship Id="rId29" Type="http://schemas.openxmlformats.org/officeDocument/2006/relationships/hyperlink" Target="https://drive.google.com/drive/folders/11tcz-w9DrTGGk-RZ1fCWTdFNNo3ofaBw?usp=sharing" TargetMode="External"/><Relationship Id="rId11" Type="http://schemas.openxmlformats.org/officeDocument/2006/relationships/hyperlink" Target="https://drive.google.com/drive/folders/11tcz-w9DrTGGk-RZ1fCWTdFNNo3ofaBw?usp=sharing" TargetMode="External"/><Relationship Id="rId10" Type="http://schemas.openxmlformats.org/officeDocument/2006/relationships/hyperlink" Target="https://drive.google.com/drive/folders/11tcz-w9DrTGGk-RZ1fCWTdFNNo3ofaBw?usp=sharing" TargetMode="External"/><Relationship Id="rId13" Type="http://schemas.openxmlformats.org/officeDocument/2006/relationships/hyperlink" Target="https://drive.google.com/drive/folders/11tcz-w9DrTGGk-RZ1fCWTdFNNo3ofaBw?usp=sharing" TargetMode="External"/><Relationship Id="rId12" Type="http://schemas.openxmlformats.org/officeDocument/2006/relationships/hyperlink" Target="https://drive.google.com/drive/folders/11tcz-w9DrTGGk-RZ1fCWTdFNNo3ofaBw?usp=sharing" TargetMode="External"/><Relationship Id="rId15" Type="http://schemas.openxmlformats.org/officeDocument/2006/relationships/hyperlink" Target="https://drive.google.com/drive/folders/11tcz-w9DrTGGk-RZ1fCWTdFNNo3ofaBw?usp=sharing" TargetMode="External"/><Relationship Id="rId14" Type="http://schemas.openxmlformats.org/officeDocument/2006/relationships/hyperlink" Target="https://drive.google.com/drive/folders/11tcz-w9DrTGGk-RZ1fCWTdFNNo3ofaBw?usp=sharing" TargetMode="External"/><Relationship Id="rId17" Type="http://schemas.openxmlformats.org/officeDocument/2006/relationships/hyperlink" Target="https://drive.google.com/drive/folders/11tcz-w9DrTGGk-RZ1fCWTdFNNo3ofaBw?usp=sharing" TargetMode="External"/><Relationship Id="rId16" Type="http://schemas.openxmlformats.org/officeDocument/2006/relationships/hyperlink" Target="https://drive.google.com/drive/folders/11tcz-w9DrTGGk-RZ1fCWTdFNNo3ofaBw?usp=sharing" TargetMode="External"/><Relationship Id="rId19" Type="http://schemas.openxmlformats.org/officeDocument/2006/relationships/hyperlink" Target="https://drive.google.com/drive/folders/11tcz-w9DrTGGk-RZ1fCWTdFNNo3ofaBw?usp=sharing" TargetMode="External"/><Relationship Id="rId18" Type="http://schemas.openxmlformats.org/officeDocument/2006/relationships/hyperlink" Target="https://drive.google.com/drive/folders/11tcz-w9DrTGGk-RZ1fCWTdFNNo3ofaBw?usp=sharin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drive/folders/1AsP06P0ryNZtG6b6FMaq-vNPAfmZIrBT?usp=sharing" TargetMode="External"/><Relationship Id="rId2" Type="http://schemas.openxmlformats.org/officeDocument/2006/relationships/hyperlink" Target="https://drive.google.com/drive/folders/1AsP06P0ryNZtG6b6FMaq-vNPAfmZIrBT?usp=sharing" TargetMode="External"/><Relationship Id="rId3" Type="http://schemas.openxmlformats.org/officeDocument/2006/relationships/hyperlink" Target="https://drive.google.com/file/d/1Ul4BHj6_c6q-5z-X8hXpxJeu_3hT8Urr/view?usp=sharing" TargetMode="External"/><Relationship Id="rId4" Type="http://schemas.openxmlformats.org/officeDocument/2006/relationships/hyperlink" Target="https://drive.google.com/drive/folders/1AsP06P0ryNZtG6b6FMaq-vNPAfmZIrBT?usp=sharing" TargetMode="External"/><Relationship Id="rId9" Type="http://schemas.openxmlformats.org/officeDocument/2006/relationships/hyperlink" Target="https://drive.google.com/file/d/1qi-SPDQN-KiQg0TK7vUw6kVX0PzWj8mD/view?usp=sharing" TargetMode="External"/><Relationship Id="rId5" Type="http://schemas.openxmlformats.org/officeDocument/2006/relationships/hyperlink" Target="https://drive.google.com/drive/folders/1AsP06P0ryNZtG6b6FMaq-vNPAfmZIrBT?usp=sharing" TargetMode="External"/><Relationship Id="rId6" Type="http://schemas.openxmlformats.org/officeDocument/2006/relationships/hyperlink" Target="https://drive.google.com/drive/folders/1AsP06P0ryNZtG6b6FMaq-vNPAfmZIrBT?usp=sharing" TargetMode="External"/><Relationship Id="rId7" Type="http://schemas.openxmlformats.org/officeDocument/2006/relationships/hyperlink" Target="https://drive.google.com/file/d/1Ul4BHj6_c6q-5z-X8hXpxJeu_3hT8Urr/view?usp=sharing" TargetMode="External"/><Relationship Id="rId8" Type="http://schemas.openxmlformats.org/officeDocument/2006/relationships/hyperlink" Target="https://drive.google.com/drive/folders/1AsP06P0ryNZtG6b6FMaq-vNPAfmZIrBT?usp=sharing" TargetMode="External"/><Relationship Id="rId40" Type="http://schemas.openxmlformats.org/officeDocument/2006/relationships/hyperlink" Target="https://drive.google.com/drive/folders/1AsP06P0ryNZtG6b6FMaq-vNPAfmZIrBT?usp=sharing" TargetMode="External"/><Relationship Id="rId42" Type="http://schemas.openxmlformats.org/officeDocument/2006/relationships/hyperlink" Target="https://drive.google.com/drive/folders/1AsP06P0ryNZtG6b6FMaq-vNPAfmZIrBT?usp=sharing" TargetMode="External"/><Relationship Id="rId41" Type="http://schemas.openxmlformats.org/officeDocument/2006/relationships/hyperlink" Target="https://drive.google.com/drive/folders/1AsP06P0ryNZtG6b6FMaq-vNPAfmZIrBT?usp=sharing" TargetMode="External"/><Relationship Id="rId44" Type="http://schemas.openxmlformats.org/officeDocument/2006/relationships/hyperlink" Target="https://drive.google.com/drive/folders/1AsP06P0ryNZtG6b6FMaq-vNPAfmZIrBT?usp=sharing" TargetMode="External"/><Relationship Id="rId43" Type="http://schemas.openxmlformats.org/officeDocument/2006/relationships/hyperlink" Target="https://drive.google.com/drive/folders/1AsP06P0ryNZtG6b6FMaq-vNPAfmZIrBT?usp=sharing" TargetMode="External"/><Relationship Id="rId46" Type="http://schemas.openxmlformats.org/officeDocument/2006/relationships/hyperlink" Target="https://drive.google.com/drive/folders/1AsP06P0ryNZtG6b6FMaq-vNPAfmZIrBT?usp=sharing" TargetMode="External"/><Relationship Id="rId45" Type="http://schemas.openxmlformats.org/officeDocument/2006/relationships/hyperlink" Target="https://drive.google.com/drive/folders/1AsP06P0ryNZtG6b6FMaq-vNPAfmZIrBT?usp=sharing" TargetMode="External"/><Relationship Id="rId48" Type="http://schemas.openxmlformats.org/officeDocument/2006/relationships/hyperlink" Target="https://drive.google.com/drive/folders/1AsP06P0ryNZtG6b6FMaq-vNPAfmZIrBT?usp=sharing" TargetMode="External"/><Relationship Id="rId47" Type="http://schemas.openxmlformats.org/officeDocument/2006/relationships/hyperlink" Target="https://drive.google.com/drive/folders/1AsP06P0ryNZtG6b6FMaq-vNPAfmZIrBT?usp=sharing" TargetMode="External"/><Relationship Id="rId49" Type="http://schemas.openxmlformats.org/officeDocument/2006/relationships/hyperlink" Target="https://drive.google.com/drive/folders/1AsP06P0ryNZtG6b6FMaq-vNPAfmZIrBT?usp=sharing" TargetMode="External"/><Relationship Id="rId31" Type="http://schemas.openxmlformats.org/officeDocument/2006/relationships/hyperlink" Target="https://drive.google.com/drive/folders/1AsP06P0ryNZtG6b6FMaq-vNPAfmZIrBT?usp=sharing" TargetMode="External"/><Relationship Id="rId30" Type="http://schemas.openxmlformats.org/officeDocument/2006/relationships/hyperlink" Target="https://drive.google.com/drive/folders/1AsP06P0ryNZtG6b6FMaq-vNPAfmZIrBT?usp=sharing" TargetMode="External"/><Relationship Id="rId33" Type="http://schemas.openxmlformats.org/officeDocument/2006/relationships/hyperlink" Target="https://drive.google.com/drive/folders/1AsP06P0ryNZtG6b6FMaq-vNPAfmZIrBT?usp=sharing" TargetMode="External"/><Relationship Id="rId32" Type="http://schemas.openxmlformats.org/officeDocument/2006/relationships/hyperlink" Target="https://drive.google.com/drive/folders/1AsP06P0ryNZtG6b6FMaq-vNPAfmZIrBT?usp=sharing" TargetMode="External"/><Relationship Id="rId35" Type="http://schemas.openxmlformats.org/officeDocument/2006/relationships/hyperlink" Target="https://drive.google.com/drive/folders/1AsP06P0ryNZtG6b6FMaq-vNPAfmZIrBT?usp=sharing" TargetMode="External"/><Relationship Id="rId34" Type="http://schemas.openxmlformats.org/officeDocument/2006/relationships/hyperlink" Target="https://drive.google.com/drive/folders/1AsP06P0ryNZtG6b6FMaq-vNPAfmZIrBT?usp=sharing" TargetMode="External"/><Relationship Id="rId37" Type="http://schemas.openxmlformats.org/officeDocument/2006/relationships/hyperlink" Target="https://drive.google.com/drive/folders/1AsP06P0ryNZtG6b6FMaq-vNPAfmZIrBT?usp=sharing" TargetMode="External"/><Relationship Id="rId36" Type="http://schemas.openxmlformats.org/officeDocument/2006/relationships/hyperlink" Target="https://drive.google.com/drive/folders/1AsP06P0ryNZtG6b6FMaq-vNPAfmZIrBT?usp=sharing" TargetMode="External"/><Relationship Id="rId39" Type="http://schemas.openxmlformats.org/officeDocument/2006/relationships/hyperlink" Target="https://drive.google.com/drive/folders/1AsP06P0ryNZtG6b6FMaq-vNPAfmZIrBT?usp=sharing" TargetMode="External"/><Relationship Id="rId38" Type="http://schemas.openxmlformats.org/officeDocument/2006/relationships/hyperlink" Target="http://s.si/" TargetMode="External"/><Relationship Id="rId20" Type="http://schemas.openxmlformats.org/officeDocument/2006/relationships/hyperlink" Target="https://drive.google.com/drive/folders/1_19XQwsD0TcJxfXX6TKL29g9oaEu_SlI?usp=drive_link" TargetMode="External"/><Relationship Id="rId22" Type="http://schemas.openxmlformats.org/officeDocument/2006/relationships/hyperlink" Target="https://drive.google.com/drive/folders/1AsP06P0ryNZtG6b6FMaq-vNPAfmZIrBT?usp=sharing" TargetMode="External"/><Relationship Id="rId21" Type="http://schemas.openxmlformats.org/officeDocument/2006/relationships/hyperlink" Target="https://drive.google.com/drive/folders/1AsP06P0ryNZtG6b6FMaq-vNPAfmZIrBT?usp=sharing" TargetMode="External"/><Relationship Id="rId24" Type="http://schemas.openxmlformats.org/officeDocument/2006/relationships/hyperlink" Target="https://drive.google.com/drive/folders/1AsP06P0ryNZtG6b6FMaq-vNPAfmZIrBT?usp=sharing" TargetMode="External"/><Relationship Id="rId23" Type="http://schemas.openxmlformats.org/officeDocument/2006/relationships/hyperlink" Target="https://drive.google.com/file/d/1Jw9rY0czWV-FbA-W4yk64BVTREwP8rgH/view?usp=sharing" TargetMode="External"/><Relationship Id="rId26" Type="http://schemas.openxmlformats.org/officeDocument/2006/relationships/hyperlink" Target="https://drive.google.com/file/d/1EHGQXbCDdIUTaC1jxmN_V3DEsMSIzwCx/view?usp=sharing" TargetMode="External"/><Relationship Id="rId25" Type="http://schemas.openxmlformats.org/officeDocument/2006/relationships/hyperlink" Target="https://drive.google.com/drive/folders/1AsP06P0ryNZtG6b6FMaq-vNPAfmZIrBT?usp=sharing" TargetMode="External"/><Relationship Id="rId28" Type="http://schemas.openxmlformats.org/officeDocument/2006/relationships/hyperlink" Target="https://drive.google.com/drive/folders/1AsP06P0ryNZtG6b6FMaq-vNPAfmZIrBT?usp=sharing" TargetMode="External"/><Relationship Id="rId27" Type="http://schemas.openxmlformats.org/officeDocument/2006/relationships/hyperlink" Target="https://drive.google.com/drive/folders/1AsP06P0ryNZtG6b6FMaq-vNPAfmZIrBT?usp=sharing" TargetMode="External"/><Relationship Id="rId29" Type="http://schemas.openxmlformats.org/officeDocument/2006/relationships/hyperlink" Target="https://drive.google.com/drive/folders/1AsP06P0ryNZtG6b6FMaq-vNPAfmZIrBT?usp=sharing" TargetMode="External"/><Relationship Id="rId11" Type="http://schemas.openxmlformats.org/officeDocument/2006/relationships/hyperlink" Target="https://drive.google.com/drive/folders/1AsP06P0ryNZtG6b6FMaq-vNPAfmZIrBT?usp=sharing" TargetMode="External"/><Relationship Id="rId10" Type="http://schemas.openxmlformats.org/officeDocument/2006/relationships/hyperlink" Target="https://drive.google.com/drive/folders/1AsP06P0ryNZtG6b6FMaq-vNPAfmZIrBT?usp=sharing" TargetMode="External"/><Relationship Id="rId13" Type="http://schemas.openxmlformats.org/officeDocument/2006/relationships/hyperlink" Target="https://drive.google.com/drive/folders/1AsP06P0ryNZtG6b6FMaq-vNPAfmZIrBT?usp=sharing" TargetMode="External"/><Relationship Id="rId12" Type="http://schemas.openxmlformats.org/officeDocument/2006/relationships/hyperlink" Target="https://drive.google.com/drive/folders/1AsP06P0ryNZtG6b6FMaq-vNPAfmZIrBT?usp=sharing" TargetMode="External"/><Relationship Id="rId15" Type="http://schemas.openxmlformats.org/officeDocument/2006/relationships/hyperlink" Target="https://drive.google.com/drive/folders/1AsP06P0ryNZtG6b6FMaq-vNPAfmZIrBT?usp=sharing" TargetMode="External"/><Relationship Id="rId14" Type="http://schemas.openxmlformats.org/officeDocument/2006/relationships/hyperlink" Target="https://drive.google.com/drive/folders/1AsP06P0ryNZtG6b6FMaq-vNPAfmZIrBT?usp=sharing" TargetMode="External"/><Relationship Id="rId17" Type="http://schemas.openxmlformats.org/officeDocument/2006/relationships/hyperlink" Target="https://drive.google.com/drive/folders/1AsP06P0ryNZtG6b6FMaq-vNPAfmZIrBT?usp=sharing" TargetMode="External"/><Relationship Id="rId16" Type="http://schemas.openxmlformats.org/officeDocument/2006/relationships/hyperlink" Target="https://drive.google.com/drive/folders/1AsP06P0ryNZtG6b6FMaq-vNPAfmZIrBT?usp=sharing" TargetMode="External"/><Relationship Id="rId19" Type="http://schemas.openxmlformats.org/officeDocument/2006/relationships/hyperlink" Target="https://drive.google.com/drive/folders/1AsP06P0ryNZtG6b6FMaq-vNPAfmZIrBT?usp=sharing" TargetMode="External"/><Relationship Id="rId18" Type="http://schemas.openxmlformats.org/officeDocument/2006/relationships/hyperlink" Target="https://drive.google.com/drive/folders/1AsP06P0ryNZtG6b6FMaq-vNPAfmZIrBT?usp=sharing" TargetMode="External"/><Relationship Id="rId62" Type="http://schemas.openxmlformats.org/officeDocument/2006/relationships/hyperlink" Target="https://drive.google.com/drive/folders/1AsP06P0ryNZtG6b6FMaq-vNPAfmZIrBT?usp=sharing" TargetMode="External"/><Relationship Id="rId61" Type="http://schemas.openxmlformats.org/officeDocument/2006/relationships/hyperlink" Target="https://drive.google.com/drive/folders/1AsP06P0ryNZtG6b6FMaq-vNPAfmZIrBT?usp=sharing" TargetMode="External"/><Relationship Id="rId64" Type="http://schemas.openxmlformats.org/officeDocument/2006/relationships/hyperlink" Target="https://drive.google.com/drive/folders/1AsP06P0ryNZtG6b6FMaq-vNPAfmZIrBT?usp=sharing" TargetMode="External"/><Relationship Id="rId63" Type="http://schemas.openxmlformats.org/officeDocument/2006/relationships/hyperlink" Target="https://drive.google.com/drive/folders/1AsP06P0ryNZtG6b6FMaq-vNPAfmZIrBT?usp=sharing" TargetMode="External"/><Relationship Id="rId65" Type="http://schemas.openxmlformats.org/officeDocument/2006/relationships/drawing" Target="../drawings/drawing6.xml"/><Relationship Id="rId60" Type="http://schemas.openxmlformats.org/officeDocument/2006/relationships/hyperlink" Target="https://drive.google.com/drive/folders/1AsP06P0ryNZtG6b6FMaq-vNPAfmZIrBT?usp=sharing" TargetMode="External"/><Relationship Id="rId51" Type="http://schemas.openxmlformats.org/officeDocument/2006/relationships/hyperlink" Target="https://drive.google.com/drive/folders/1AsP06P0ryNZtG6b6FMaq-vNPAfmZIrBT?usp=sharing" TargetMode="External"/><Relationship Id="rId50" Type="http://schemas.openxmlformats.org/officeDocument/2006/relationships/hyperlink" Target="https://drive.google.com/drive/folders/1AsP06P0ryNZtG6b6FMaq-vNPAfmZIrBT?usp=sharing" TargetMode="External"/><Relationship Id="rId53" Type="http://schemas.openxmlformats.org/officeDocument/2006/relationships/hyperlink" Target="https://drive.google.com/drive/folders/1AsP06P0ryNZtG6b6FMaq-vNPAfmZIrBT?usp=sharing" TargetMode="External"/><Relationship Id="rId52" Type="http://schemas.openxmlformats.org/officeDocument/2006/relationships/hyperlink" Target="https://drive.google.com/drive/folders/1AsP06P0ryNZtG6b6FMaq-vNPAfmZIrBT?usp=sharing" TargetMode="External"/><Relationship Id="rId55" Type="http://schemas.openxmlformats.org/officeDocument/2006/relationships/hyperlink" Target="https://drive.google.com/drive/folders/1AsP06P0ryNZtG6b6FMaq-vNPAfmZIrBT?usp=sharing" TargetMode="External"/><Relationship Id="rId54" Type="http://schemas.openxmlformats.org/officeDocument/2006/relationships/hyperlink" Target="https://drive.google.com/drive/folders/1AsP06P0ryNZtG6b6FMaq-vNPAfmZIrBT?usp=sharing" TargetMode="External"/><Relationship Id="rId57" Type="http://schemas.openxmlformats.org/officeDocument/2006/relationships/hyperlink" Target="https://drive.google.com/drive/folders/1AsP06P0ryNZtG6b6FMaq-vNPAfmZIrBT?usp=sharing" TargetMode="External"/><Relationship Id="rId56" Type="http://schemas.openxmlformats.org/officeDocument/2006/relationships/hyperlink" Target="https://drive.google.com/drive/folders/1AsP06P0ryNZtG6b6FMaq-vNPAfmZIrBT?usp=sharing" TargetMode="External"/><Relationship Id="rId59" Type="http://schemas.openxmlformats.org/officeDocument/2006/relationships/hyperlink" Target="https://drive.google.com/drive/folders/1AsP06P0ryNZtG6b6FMaq-vNPAfmZIrBT?usp=sharing" TargetMode="External"/><Relationship Id="rId58" Type="http://schemas.openxmlformats.org/officeDocument/2006/relationships/hyperlink" Target="https://drive.google.com/drive/folders/1AsP06P0ryNZtG6b6FMaq-vNPAfmZIrBT?usp=sharing" TargetMode="External"/></Relationships>
</file>

<file path=xl/worksheets/_rels/sheet7.xml.rels><?xml version="1.0" encoding="UTF-8" standalone="yes"?><Relationships xmlns="http://schemas.openxmlformats.org/package/2006/relationships"><Relationship Id="rId190" Type="http://schemas.openxmlformats.org/officeDocument/2006/relationships/hyperlink" Target="https://drive.google.com/drive/folders/1V1WsoNRHB7cdvOLmJL6GGEsU8kU4XCy_?usp=sharing" TargetMode="External"/><Relationship Id="rId194" Type="http://schemas.openxmlformats.org/officeDocument/2006/relationships/hyperlink" Target="https://drive.google.com/drive/folders/1V1WsoNRHB7cdvOLmJL6GGEsU8kU4XCy_?usp=sharing" TargetMode="External"/><Relationship Id="rId193" Type="http://schemas.openxmlformats.org/officeDocument/2006/relationships/hyperlink" Target="https://drive.google.com/drive/folders/1V1WsoNRHB7cdvOLmJL6GGEsU8kU4XCy_?usp=sharing" TargetMode="External"/><Relationship Id="rId192" Type="http://schemas.openxmlformats.org/officeDocument/2006/relationships/hyperlink" Target="https://drive.google.com/drive/folders/1V1WsoNRHB7cdvOLmJL6GGEsU8kU4XCy_?usp=sharing" TargetMode="External"/><Relationship Id="rId191" Type="http://schemas.openxmlformats.org/officeDocument/2006/relationships/hyperlink" Target="https://drive.google.com/drive/folders/1V1WsoNRHB7cdvOLmJL6GGEsU8kU4XCy_?usp=sharing" TargetMode="External"/><Relationship Id="rId187" Type="http://schemas.openxmlformats.org/officeDocument/2006/relationships/hyperlink" Target="https://drive.google.com/drive/folders/1V1WsoNRHB7cdvOLmJL6GGEsU8kU4XCy_?usp=sharing" TargetMode="External"/><Relationship Id="rId186" Type="http://schemas.openxmlformats.org/officeDocument/2006/relationships/hyperlink" Target="https://drive.google.com/drive/folders/1V1WsoNRHB7cdvOLmJL6GGEsU8kU4XCy_?usp=sharing" TargetMode="External"/><Relationship Id="rId185" Type="http://schemas.openxmlformats.org/officeDocument/2006/relationships/hyperlink" Target="https://drive.google.com/drive/folders/1V1WsoNRHB7cdvOLmJL6GGEsU8kU4XCy_?usp=sharing" TargetMode="External"/><Relationship Id="rId184" Type="http://schemas.openxmlformats.org/officeDocument/2006/relationships/hyperlink" Target="https://drive.google.com/drive/folders/1V1WsoNRHB7cdvOLmJL6GGEsU8kU4XCy_?usp=sharing" TargetMode="External"/><Relationship Id="rId189" Type="http://schemas.openxmlformats.org/officeDocument/2006/relationships/hyperlink" Target="https://drive.google.com/drive/folders/1V1WsoNRHB7cdvOLmJL6GGEsU8kU4XCy_?usp=sharing" TargetMode="External"/><Relationship Id="rId188" Type="http://schemas.openxmlformats.org/officeDocument/2006/relationships/hyperlink" Target="https://drive.google.com/drive/folders/1V1WsoNRHB7cdvOLmJL6GGEsU8kU4XCy_?usp=sharing" TargetMode="External"/><Relationship Id="rId183" Type="http://schemas.openxmlformats.org/officeDocument/2006/relationships/hyperlink" Target="https://drive.google.com/drive/folders/1V1WsoNRHB7cdvOLmJL6GGEsU8kU4XCy_?usp=sharing" TargetMode="External"/><Relationship Id="rId182" Type="http://schemas.openxmlformats.org/officeDocument/2006/relationships/hyperlink" Target="https://drive.google.com/drive/folders/1V1WsoNRHB7cdvOLmJL6GGEsU8kU4XCy_?usp=sharing" TargetMode="External"/><Relationship Id="rId181" Type="http://schemas.openxmlformats.org/officeDocument/2006/relationships/hyperlink" Target="https://drive.google.com/drive/folders/1V1WsoNRHB7cdvOLmJL6GGEsU8kU4XCy_?usp=sharing" TargetMode="External"/><Relationship Id="rId180" Type="http://schemas.openxmlformats.org/officeDocument/2006/relationships/hyperlink" Target="https://drive.google.com/drive/folders/1V1WsoNRHB7cdvOLmJL6GGEsU8kU4XCy_?usp=sharing" TargetMode="External"/><Relationship Id="rId176" Type="http://schemas.openxmlformats.org/officeDocument/2006/relationships/hyperlink" Target="https://drive.google.com/drive/folders/1V1WsoNRHB7cdvOLmJL6GGEsU8kU4XCy_?usp=sharing" TargetMode="External"/><Relationship Id="rId175" Type="http://schemas.openxmlformats.org/officeDocument/2006/relationships/hyperlink" Target="https://drive.google.com/drive/folders/1V1WsoNRHB7cdvOLmJL6GGEsU8kU4XCy_?usp=sharing" TargetMode="External"/><Relationship Id="rId174" Type="http://schemas.openxmlformats.org/officeDocument/2006/relationships/hyperlink" Target="https://drive.google.com/drive/folders/1V1WsoNRHB7cdvOLmJL6GGEsU8kU4XCy_?usp=sharing" TargetMode="External"/><Relationship Id="rId173" Type="http://schemas.openxmlformats.org/officeDocument/2006/relationships/hyperlink" Target="https://drive.google.com/drive/folders/1V1WsoNRHB7cdvOLmJL6GGEsU8kU4XCy_?usp=sharing" TargetMode="External"/><Relationship Id="rId179" Type="http://schemas.openxmlformats.org/officeDocument/2006/relationships/hyperlink" Target="https://drive.google.com/drive/folders/1V1WsoNRHB7cdvOLmJL6GGEsU8kU4XCy_?usp=sharing" TargetMode="External"/><Relationship Id="rId178" Type="http://schemas.openxmlformats.org/officeDocument/2006/relationships/hyperlink" Target="https://drive.google.com/drive/folders/1V1WsoNRHB7cdvOLmJL6GGEsU8kU4XCy_?usp=sharing" TargetMode="External"/><Relationship Id="rId177" Type="http://schemas.openxmlformats.org/officeDocument/2006/relationships/hyperlink" Target="https://drive.google.com/drive/folders/1V1WsoNRHB7cdvOLmJL6GGEsU8kU4XCy_?usp=sharing" TargetMode="External"/><Relationship Id="rId198" Type="http://schemas.openxmlformats.org/officeDocument/2006/relationships/hyperlink" Target="https://drive.google.com/drive/folders/1V1WsoNRHB7cdvOLmJL6GGEsU8kU4XCy_?usp=sharing" TargetMode="External"/><Relationship Id="rId197" Type="http://schemas.openxmlformats.org/officeDocument/2006/relationships/hyperlink" Target="https://drive.google.com/drive/folders/1V1WsoNRHB7cdvOLmJL6GGEsU8kU4XCy_?usp=sharing" TargetMode="External"/><Relationship Id="rId196" Type="http://schemas.openxmlformats.org/officeDocument/2006/relationships/hyperlink" Target="https://drive.google.com/drive/folders/1V1WsoNRHB7cdvOLmJL6GGEsU8kU4XCy_?usp=sharing" TargetMode="External"/><Relationship Id="rId195" Type="http://schemas.openxmlformats.org/officeDocument/2006/relationships/hyperlink" Target="https://drive.google.com/drive/folders/1V1WsoNRHB7cdvOLmJL6GGEsU8kU4XCy_?usp=sharing" TargetMode="External"/><Relationship Id="rId199" Type="http://schemas.openxmlformats.org/officeDocument/2006/relationships/hyperlink" Target="https://drive.google.com/drive/folders/1V1WsoNRHB7cdvOLmJL6GGEsU8kU4XCy_?usp=sharing" TargetMode="External"/><Relationship Id="rId150" Type="http://schemas.openxmlformats.org/officeDocument/2006/relationships/hyperlink" Target="https://drive.google.com/drive/folders/1V1WsoNRHB7cdvOLmJL6GGEsU8kU4XCy_?usp=sharing" TargetMode="External"/><Relationship Id="rId1" Type="http://schemas.openxmlformats.org/officeDocument/2006/relationships/hyperlink" Target="https://drive.google.com/drive/folders/1V1WsoNRHB7cdvOLmJL6GGEsU8kU4XCy_?usp=sharing" TargetMode="External"/><Relationship Id="rId2" Type="http://schemas.openxmlformats.org/officeDocument/2006/relationships/hyperlink" Target="https://sistemasi.ftik.unisi.ac.id/index.php/stmsi/article/view/3679" TargetMode="External"/><Relationship Id="rId3" Type="http://schemas.openxmlformats.org/officeDocument/2006/relationships/hyperlink" Target="https://doi.org/10.32520/stmsi.v13i3.3679" TargetMode="External"/><Relationship Id="rId149" Type="http://schemas.openxmlformats.org/officeDocument/2006/relationships/hyperlink" Target="https://drive.google.com/drive/folders/1V1WsoNRHB7cdvOLmJL6GGEsU8kU4XCy_?usp=sharing" TargetMode="External"/><Relationship Id="rId4" Type="http://schemas.openxmlformats.org/officeDocument/2006/relationships/hyperlink" Target="https://drive.google.com/drive/folders/1V1WsoNRHB7cdvOLmJL6GGEsU8kU4XCy_?usp=sharing" TargetMode="External"/><Relationship Id="rId148" Type="http://schemas.openxmlformats.org/officeDocument/2006/relationships/hyperlink" Target="https://drive.google.com/drive/folders/1V1WsoNRHB7cdvOLmJL6GGEsU8kU4XCy_?usp=sharing" TargetMode="External"/><Relationship Id="rId9" Type="http://schemas.openxmlformats.org/officeDocument/2006/relationships/hyperlink" Target="https://drive.google.com/drive/folders/1V1WsoNRHB7cdvOLmJL6GGEsU8kU4XCy_?usp=sharing" TargetMode="External"/><Relationship Id="rId143" Type="http://schemas.openxmlformats.org/officeDocument/2006/relationships/hyperlink" Target="https://drive.google.com/drive/folders/1V1WsoNRHB7cdvOLmJL6GGEsU8kU4XCy_?usp=sharing" TargetMode="External"/><Relationship Id="rId142" Type="http://schemas.openxmlformats.org/officeDocument/2006/relationships/hyperlink" Target="https://drive.google.com/drive/folders/1V1WsoNRHB7cdvOLmJL6GGEsU8kU4XCy_?usp=sharing" TargetMode="External"/><Relationship Id="rId141" Type="http://schemas.openxmlformats.org/officeDocument/2006/relationships/hyperlink" Target="https://drive.google.com/drive/folders/1V1WsoNRHB7cdvOLmJL6GGEsU8kU4XCy_?usp=sharing" TargetMode="External"/><Relationship Id="rId140" Type="http://schemas.openxmlformats.org/officeDocument/2006/relationships/hyperlink" Target="https://drive.google.com/drive/folders/1V1WsoNRHB7cdvOLmJL6GGEsU8kU4XCy_?usp=sharing" TargetMode="External"/><Relationship Id="rId5" Type="http://schemas.openxmlformats.org/officeDocument/2006/relationships/hyperlink" Target="https://jtiik.ub.ac.id/index.php/jtiik/article/view/7404" TargetMode="External"/><Relationship Id="rId147" Type="http://schemas.openxmlformats.org/officeDocument/2006/relationships/hyperlink" Target="https://drive.google.com/drive/folders/1V1WsoNRHB7cdvOLmJL6GGEsU8kU4XCy_?usp=sharing" TargetMode="External"/><Relationship Id="rId6" Type="http://schemas.openxmlformats.org/officeDocument/2006/relationships/hyperlink" Target="https://doi.org/10.25126/jtiik.20241127404" TargetMode="External"/><Relationship Id="rId146" Type="http://schemas.openxmlformats.org/officeDocument/2006/relationships/hyperlink" Target="https://drive.google.com/drive/folders/1V1WsoNRHB7cdvOLmJL6GGEsU8kU4XCy_?usp=sharing" TargetMode="External"/><Relationship Id="rId7" Type="http://schemas.openxmlformats.org/officeDocument/2006/relationships/hyperlink" Target="https://drive.google.com/drive/folders/1V1WsoNRHB7cdvOLmJL6GGEsU8kU4XCy_?usp=sharing" TargetMode="External"/><Relationship Id="rId145" Type="http://schemas.openxmlformats.org/officeDocument/2006/relationships/hyperlink" Target="https://drive.google.com/drive/folders/1V1WsoNRHB7cdvOLmJL6GGEsU8kU4XCy_?usp=sharing" TargetMode="External"/><Relationship Id="rId8" Type="http://schemas.openxmlformats.org/officeDocument/2006/relationships/hyperlink" Target="https://drive.google.com/drive/folders/1V1WsoNRHB7cdvOLmJL6GGEsU8kU4XCy_?usp=sharing" TargetMode="External"/><Relationship Id="rId144" Type="http://schemas.openxmlformats.org/officeDocument/2006/relationships/hyperlink" Target="https://drive.google.com/drive/folders/1V1WsoNRHB7cdvOLmJL6GGEsU8kU4XCy_?usp=sharing" TargetMode="External"/><Relationship Id="rId139" Type="http://schemas.openxmlformats.org/officeDocument/2006/relationships/hyperlink" Target="https://drive.google.com/drive/folders/1V1WsoNRHB7cdvOLmJL6GGEsU8kU4XCy_?usp=sharing" TargetMode="External"/><Relationship Id="rId138" Type="http://schemas.openxmlformats.org/officeDocument/2006/relationships/hyperlink" Target="https://drive.google.com/drive/folders/1V1WsoNRHB7cdvOLmJL6GGEsU8kU4XCy_?usp=sharing" TargetMode="External"/><Relationship Id="rId137" Type="http://schemas.openxmlformats.org/officeDocument/2006/relationships/hyperlink" Target="https://drive.google.com/drive/folders/1V1WsoNRHB7cdvOLmJL6GGEsU8kU4XCy_?usp=sharing" TargetMode="External"/><Relationship Id="rId132" Type="http://schemas.openxmlformats.org/officeDocument/2006/relationships/hyperlink" Target="https://drive.google.com/drive/folders/1V1WsoNRHB7cdvOLmJL6GGEsU8kU4XCy_?usp=sharing" TargetMode="External"/><Relationship Id="rId131" Type="http://schemas.openxmlformats.org/officeDocument/2006/relationships/hyperlink" Target="https://drive.google.com/drive/folders/1V1WsoNRHB7cdvOLmJL6GGEsU8kU4XCy_?usp=sharing" TargetMode="External"/><Relationship Id="rId130" Type="http://schemas.openxmlformats.org/officeDocument/2006/relationships/hyperlink" Target="https://drive.google.com/drive/folders/1V1WsoNRHB7cdvOLmJL6GGEsU8kU4XCy_?usp=sharing" TargetMode="External"/><Relationship Id="rId136" Type="http://schemas.openxmlformats.org/officeDocument/2006/relationships/hyperlink" Target="https://drive.google.com/drive/folders/1V1WsoNRHB7cdvOLmJL6GGEsU8kU4XCy_?usp=sharing" TargetMode="External"/><Relationship Id="rId135" Type="http://schemas.openxmlformats.org/officeDocument/2006/relationships/hyperlink" Target="https://drive.google.com/drive/folders/1V1WsoNRHB7cdvOLmJL6GGEsU8kU4XCy_?usp=sharing" TargetMode="External"/><Relationship Id="rId134" Type="http://schemas.openxmlformats.org/officeDocument/2006/relationships/hyperlink" Target="https://drive.google.com/drive/folders/1V1WsoNRHB7cdvOLmJL6GGEsU8kU4XCy_?usp=sharing" TargetMode="External"/><Relationship Id="rId133" Type="http://schemas.openxmlformats.org/officeDocument/2006/relationships/hyperlink" Target="https://drive.google.com/drive/folders/1V1WsoNRHB7cdvOLmJL6GGEsU8kU4XCy_?usp=sharing" TargetMode="External"/><Relationship Id="rId172" Type="http://schemas.openxmlformats.org/officeDocument/2006/relationships/hyperlink" Target="https://drive.google.com/drive/folders/1V1WsoNRHB7cdvOLmJL6GGEsU8kU4XCy_?usp=sharing" TargetMode="External"/><Relationship Id="rId171" Type="http://schemas.openxmlformats.org/officeDocument/2006/relationships/hyperlink" Target="https://drive.google.com/drive/folders/1V1WsoNRHB7cdvOLmJL6GGEsU8kU4XCy_?usp=sharing" TargetMode="External"/><Relationship Id="rId170" Type="http://schemas.openxmlformats.org/officeDocument/2006/relationships/hyperlink" Target="https://drive.google.com/drive/folders/1V1WsoNRHB7cdvOLmJL6GGEsU8kU4XCy_?usp=sharing" TargetMode="External"/><Relationship Id="rId165" Type="http://schemas.openxmlformats.org/officeDocument/2006/relationships/hyperlink" Target="https://drive.google.com/drive/folders/1V1WsoNRHB7cdvOLmJL6GGEsU8kU4XCy_?usp=sharing" TargetMode="External"/><Relationship Id="rId164" Type="http://schemas.openxmlformats.org/officeDocument/2006/relationships/hyperlink" Target="https://drive.google.com/drive/folders/1V1WsoNRHB7cdvOLmJL6GGEsU8kU4XCy_?usp=sharing" TargetMode="External"/><Relationship Id="rId163" Type="http://schemas.openxmlformats.org/officeDocument/2006/relationships/hyperlink" Target="https://drive.google.com/drive/folders/1V1WsoNRHB7cdvOLmJL6GGEsU8kU4XCy_?usp=sharing" TargetMode="External"/><Relationship Id="rId162" Type="http://schemas.openxmlformats.org/officeDocument/2006/relationships/hyperlink" Target="https://drive.google.com/drive/folders/1V1WsoNRHB7cdvOLmJL6GGEsU8kU4XCy_?usp=sharing" TargetMode="External"/><Relationship Id="rId169" Type="http://schemas.openxmlformats.org/officeDocument/2006/relationships/hyperlink" Target="https://drive.google.com/drive/folders/1V1WsoNRHB7cdvOLmJL6GGEsU8kU4XCy_?usp=sharing" TargetMode="External"/><Relationship Id="rId168" Type="http://schemas.openxmlformats.org/officeDocument/2006/relationships/hyperlink" Target="https://drive.google.com/drive/folders/1V1WsoNRHB7cdvOLmJL6GGEsU8kU4XCy_?usp=sharing" TargetMode="External"/><Relationship Id="rId167" Type="http://schemas.openxmlformats.org/officeDocument/2006/relationships/hyperlink" Target="https://drive.google.com/drive/folders/1V1WsoNRHB7cdvOLmJL6GGEsU8kU4XCy_?usp=sharing" TargetMode="External"/><Relationship Id="rId166" Type="http://schemas.openxmlformats.org/officeDocument/2006/relationships/hyperlink" Target="https://drive.google.com/drive/folders/1V1WsoNRHB7cdvOLmJL6GGEsU8kU4XCy_?usp=sharing" TargetMode="External"/><Relationship Id="rId161" Type="http://schemas.openxmlformats.org/officeDocument/2006/relationships/hyperlink" Target="https://drive.google.com/drive/folders/1V1WsoNRHB7cdvOLmJL6GGEsU8kU4XCy_?usp=sharing" TargetMode="External"/><Relationship Id="rId160" Type="http://schemas.openxmlformats.org/officeDocument/2006/relationships/hyperlink" Target="https://drive.google.com/drive/folders/1V1WsoNRHB7cdvOLmJL6GGEsU8kU4XCy_?usp=sharing" TargetMode="External"/><Relationship Id="rId159" Type="http://schemas.openxmlformats.org/officeDocument/2006/relationships/hyperlink" Target="https://drive.google.com/drive/folders/1V1WsoNRHB7cdvOLmJL6GGEsU8kU4XCy_?usp=sharing" TargetMode="External"/><Relationship Id="rId154" Type="http://schemas.openxmlformats.org/officeDocument/2006/relationships/hyperlink" Target="https://drive.google.com/drive/folders/1V1WsoNRHB7cdvOLmJL6GGEsU8kU4XCy_?usp=sharing" TargetMode="External"/><Relationship Id="rId153" Type="http://schemas.openxmlformats.org/officeDocument/2006/relationships/hyperlink" Target="https://drive.google.com/drive/folders/1V1WsoNRHB7cdvOLmJL6GGEsU8kU4XCy_?usp=sharing" TargetMode="External"/><Relationship Id="rId152" Type="http://schemas.openxmlformats.org/officeDocument/2006/relationships/hyperlink" Target="https://drive.google.com/drive/folders/1V1WsoNRHB7cdvOLmJL6GGEsU8kU4XCy_?usp=sharing" TargetMode="External"/><Relationship Id="rId151" Type="http://schemas.openxmlformats.org/officeDocument/2006/relationships/hyperlink" Target="https://drive.google.com/drive/folders/1V1WsoNRHB7cdvOLmJL6GGEsU8kU4XCy_?usp=sharing" TargetMode="External"/><Relationship Id="rId158" Type="http://schemas.openxmlformats.org/officeDocument/2006/relationships/hyperlink" Target="https://drive.google.com/drive/folders/1V1WsoNRHB7cdvOLmJL6GGEsU8kU4XCy_?usp=sharing" TargetMode="External"/><Relationship Id="rId157" Type="http://schemas.openxmlformats.org/officeDocument/2006/relationships/hyperlink" Target="https://drive.google.com/drive/folders/1V1WsoNRHB7cdvOLmJL6GGEsU8kU4XCy_?usp=sharing" TargetMode="External"/><Relationship Id="rId156" Type="http://schemas.openxmlformats.org/officeDocument/2006/relationships/hyperlink" Target="https://drive.google.com/drive/folders/1V1WsoNRHB7cdvOLmJL6GGEsU8kU4XCy_?usp=sharing" TargetMode="External"/><Relationship Id="rId155" Type="http://schemas.openxmlformats.org/officeDocument/2006/relationships/hyperlink" Target="https://drive.google.com/drive/folders/1V1WsoNRHB7cdvOLmJL6GGEsU8kU4XCy_?usp=sharing" TargetMode="External"/><Relationship Id="rId40" Type="http://schemas.openxmlformats.org/officeDocument/2006/relationships/hyperlink" Target="https://drive.google.com/drive/folders/1V1WsoNRHB7cdvOLmJL6GGEsU8kU4XCy_?usp=sharing" TargetMode="External"/><Relationship Id="rId42" Type="http://schemas.openxmlformats.org/officeDocument/2006/relationships/hyperlink" Target="https://drive.google.com/drive/folders/1V1WsoNRHB7cdvOLmJL6GGEsU8kU4XCy_?usp=sharing" TargetMode="External"/><Relationship Id="rId41" Type="http://schemas.openxmlformats.org/officeDocument/2006/relationships/hyperlink" Target="https://drive.google.com/drive/folders/1V1WsoNRHB7cdvOLmJL6GGEsU8kU4XCy_?usp=sharing" TargetMode="External"/><Relationship Id="rId44" Type="http://schemas.openxmlformats.org/officeDocument/2006/relationships/hyperlink" Target="https://drive.google.com/drive/folders/1V1WsoNRHB7cdvOLmJL6GGEsU8kU4XCy_?usp=sharing" TargetMode="External"/><Relationship Id="rId43" Type="http://schemas.openxmlformats.org/officeDocument/2006/relationships/hyperlink" Target="https://drive.google.com/drive/folders/1V1WsoNRHB7cdvOLmJL6GGEsU8kU4XCy_?usp=sharing" TargetMode="External"/><Relationship Id="rId46" Type="http://schemas.openxmlformats.org/officeDocument/2006/relationships/hyperlink" Target="https://drive.google.com/drive/folders/1V1WsoNRHB7cdvOLmJL6GGEsU8kU4XCy_?usp=sharing" TargetMode="External"/><Relationship Id="rId45" Type="http://schemas.openxmlformats.org/officeDocument/2006/relationships/hyperlink" Target="https://drive.google.com/drive/folders/1V1WsoNRHB7cdvOLmJL6GGEsU8kU4XCy_?usp=sharing" TargetMode="External"/><Relationship Id="rId48" Type="http://schemas.openxmlformats.org/officeDocument/2006/relationships/hyperlink" Target="https://drive.google.com/drive/folders/1V1WsoNRHB7cdvOLmJL6GGEsU8kU4XCy_?usp=sharing" TargetMode="External"/><Relationship Id="rId47" Type="http://schemas.openxmlformats.org/officeDocument/2006/relationships/hyperlink" Target="https://drive.google.com/drive/folders/1V1WsoNRHB7cdvOLmJL6GGEsU8kU4XCy_?usp=sharing" TargetMode="External"/><Relationship Id="rId49" Type="http://schemas.openxmlformats.org/officeDocument/2006/relationships/hyperlink" Target="https://drive.google.com/drive/folders/1V1WsoNRHB7cdvOLmJL6GGEsU8kU4XCy_?usp=sharing" TargetMode="External"/><Relationship Id="rId31" Type="http://schemas.openxmlformats.org/officeDocument/2006/relationships/hyperlink" Target="https://drive.google.com/drive/folders/1V1WsoNRHB7cdvOLmJL6GGEsU8kU4XCy_?usp=sharing" TargetMode="External"/><Relationship Id="rId30" Type="http://schemas.openxmlformats.org/officeDocument/2006/relationships/hyperlink" Target="https://drive.google.com/drive/folders/1V1WsoNRHB7cdvOLmJL6GGEsU8kU4XCy_?usp=sharing" TargetMode="External"/><Relationship Id="rId33" Type="http://schemas.openxmlformats.org/officeDocument/2006/relationships/hyperlink" Target="https://drive.google.com/drive/folders/1V1WsoNRHB7cdvOLmJL6GGEsU8kU4XCy_?usp=sharing" TargetMode="External"/><Relationship Id="rId32" Type="http://schemas.openxmlformats.org/officeDocument/2006/relationships/hyperlink" Target="https://drive.google.com/drive/folders/1V1WsoNRHB7cdvOLmJL6GGEsU8kU4XCy_?usp=sharing" TargetMode="External"/><Relationship Id="rId35" Type="http://schemas.openxmlformats.org/officeDocument/2006/relationships/hyperlink" Target="https://drive.google.com/drive/folders/1V1WsoNRHB7cdvOLmJL6GGEsU8kU4XCy_?usp=sharing" TargetMode="External"/><Relationship Id="rId34" Type="http://schemas.openxmlformats.org/officeDocument/2006/relationships/hyperlink" Target="https://drive.google.com/drive/folders/1V1WsoNRHB7cdvOLmJL6GGEsU8kU4XCy_?usp=sharing" TargetMode="External"/><Relationship Id="rId37" Type="http://schemas.openxmlformats.org/officeDocument/2006/relationships/hyperlink" Target="https://drive.google.com/drive/folders/1V1WsoNRHB7cdvOLmJL6GGEsU8kU4XCy_?usp=sharing" TargetMode="External"/><Relationship Id="rId36" Type="http://schemas.openxmlformats.org/officeDocument/2006/relationships/hyperlink" Target="https://drive.google.com/drive/folders/1V1WsoNRHB7cdvOLmJL6GGEsU8kU4XCy_?usp=sharing" TargetMode="External"/><Relationship Id="rId39" Type="http://schemas.openxmlformats.org/officeDocument/2006/relationships/hyperlink" Target="https://drive.google.com/drive/folders/1V1WsoNRHB7cdvOLmJL6GGEsU8kU4XCy_?usp=sharing" TargetMode="External"/><Relationship Id="rId38" Type="http://schemas.openxmlformats.org/officeDocument/2006/relationships/hyperlink" Target="https://drive.google.com/drive/folders/1V1WsoNRHB7cdvOLmJL6GGEsU8kU4XCy_?usp=sharing" TargetMode="External"/><Relationship Id="rId20" Type="http://schemas.openxmlformats.org/officeDocument/2006/relationships/hyperlink" Target="https://drive.google.com/drive/folders/1V1WsoNRHB7cdvOLmJL6GGEsU8kU4XCy_?usp=sharing" TargetMode="External"/><Relationship Id="rId22" Type="http://schemas.openxmlformats.org/officeDocument/2006/relationships/hyperlink" Target="https://drive.google.com/drive/folders/1V1WsoNRHB7cdvOLmJL6GGEsU8kU4XCy_?usp=sharing" TargetMode="External"/><Relationship Id="rId21" Type="http://schemas.openxmlformats.org/officeDocument/2006/relationships/hyperlink" Target="https://drive.google.com/drive/folders/1V1WsoNRHB7cdvOLmJL6GGEsU8kU4XCy_?usp=sharing" TargetMode="External"/><Relationship Id="rId24" Type="http://schemas.openxmlformats.org/officeDocument/2006/relationships/hyperlink" Target="https://drive.google.com/drive/folders/1V1WsoNRHB7cdvOLmJL6GGEsU8kU4XCy_?usp=sharing" TargetMode="External"/><Relationship Id="rId23" Type="http://schemas.openxmlformats.org/officeDocument/2006/relationships/hyperlink" Target="https://drive.google.com/drive/folders/1V1WsoNRHB7cdvOLmJL6GGEsU8kU4XCy_?usp=sharing" TargetMode="External"/><Relationship Id="rId26" Type="http://schemas.openxmlformats.org/officeDocument/2006/relationships/hyperlink" Target="https://drive.google.com/drive/folders/1V1WsoNRHB7cdvOLmJL6GGEsU8kU4XCy_?usp=sharing" TargetMode="External"/><Relationship Id="rId25" Type="http://schemas.openxmlformats.org/officeDocument/2006/relationships/hyperlink" Target="https://drive.google.com/drive/folders/1V1WsoNRHB7cdvOLmJL6GGEsU8kU4XCy_?usp=sharing" TargetMode="External"/><Relationship Id="rId28" Type="http://schemas.openxmlformats.org/officeDocument/2006/relationships/hyperlink" Target="https://drive.google.com/drive/folders/1V1WsoNRHB7cdvOLmJL6GGEsU8kU4XCy_?usp=sharing" TargetMode="External"/><Relationship Id="rId27" Type="http://schemas.openxmlformats.org/officeDocument/2006/relationships/hyperlink" Target="https://drive.google.com/drive/folders/1V1WsoNRHB7cdvOLmJL6GGEsU8kU4XCy_?usp=sharing" TargetMode="External"/><Relationship Id="rId29" Type="http://schemas.openxmlformats.org/officeDocument/2006/relationships/hyperlink" Target="https://drive.google.com/drive/folders/1V1WsoNRHB7cdvOLmJL6GGEsU8kU4XCy_?usp=sharing" TargetMode="External"/><Relationship Id="rId11" Type="http://schemas.openxmlformats.org/officeDocument/2006/relationships/hyperlink" Target="https://drive.google.com/drive/folders/1V1WsoNRHB7cdvOLmJL6GGEsU8kU4XCy_?usp=sharing" TargetMode="External"/><Relationship Id="rId10" Type="http://schemas.openxmlformats.org/officeDocument/2006/relationships/hyperlink" Target="https://drive.google.com/drive/folders/1V1WsoNRHB7cdvOLmJL6GGEsU8kU4XCy_?usp=sharing" TargetMode="External"/><Relationship Id="rId13" Type="http://schemas.openxmlformats.org/officeDocument/2006/relationships/hyperlink" Target="https://drive.google.com/drive/folders/1V1WsoNRHB7cdvOLmJL6GGEsU8kU4XCy_?usp=sharing" TargetMode="External"/><Relationship Id="rId12" Type="http://schemas.openxmlformats.org/officeDocument/2006/relationships/hyperlink" Target="https://drive.google.com/drive/folders/1V1WsoNRHB7cdvOLmJL6GGEsU8kU4XCy_?usp=sharing" TargetMode="External"/><Relationship Id="rId15" Type="http://schemas.openxmlformats.org/officeDocument/2006/relationships/hyperlink" Target="https://drive.google.com/drive/folders/1V1WsoNRHB7cdvOLmJL6GGEsU8kU4XCy_?usp=sharing" TargetMode="External"/><Relationship Id="rId14" Type="http://schemas.openxmlformats.org/officeDocument/2006/relationships/hyperlink" Target="https://drive.google.com/drive/folders/1V1WsoNRHB7cdvOLmJL6GGEsU8kU4XCy_?usp=sharing" TargetMode="External"/><Relationship Id="rId17" Type="http://schemas.openxmlformats.org/officeDocument/2006/relationships/hyperlink" Target="https://drive.google.com/drive/folders/1V1WsoNRHB7cdvOLmJL6GGEsU8kU4XCy_?usp=sharing" TargetMode="External"/><Relationship Id="rId16" Type="http://schemas.openxmlformats.org/officeDocument/2006/relationships/hyperlink" Target="https://drive.google.com/drive/folders/1V1WsoNRHB7cdvOLmJL6GGEsU8kU4XCy_?usp=sharing" TargetMode="External"/><Relationship Id="rId19" Type="http://schemas.openxmlformats.org/officeDocument/2006/relationships/hyperlink" Target="https://drive.google.com/drive/folders/1V1WsoNRHB7cdvOLmJL6GGEsU8kU4XCy_?usp=sharing" TargetMode="External"/><Relationship Id="rId18" Type="http://schemas.openxmlformats.org/officeDocument/2006/relationships/hyperlink" Target="https://drive.google.com/drive/folders/1V1WsoNRHB7cdvOLmJL6GGEsU8kU4XCy_?usp=sharing" TargetMode="External"/><Relationship Id="rId84" Type="http://schemas.openxmlformats.org/officeDocument/2006/relationships/hyperlink" Target="https://drive.google.com/drive/folders/1V1WsoNRHB7cdvOLmJL6GGEsU8kU4XCy_?usp=sharing" TargetMode="External"/><Relationship Id="rId83" Type="http://schemas.openxmlformats.org/officeDocument/2006/relationships/hyperlink" Target="https://drive.google.com/drive/folders/1V1WsoNRHB7cdvOLmJL6GGEsU8kU4XCy_?usp=sharing" TargetMode="External"/><Relationship Id="rId86" Type="http://schemas.openxmlformats.org/officeDocument/2006/relationships/hyperlink" Target="https://drive.google.com/drive/folders/1V1WsoNRHB7cdvOLmJL6GGEsU8kU4XCy_?usp=sharing" TargetMode="External"/><Relationship Id="rId85" Type="http://schemas.openxmlformats.org/officeDocument/2006/relationships/hyperlink" Target="https://drive.google.com/drive/folders/1V1WsoNRHB7cdvOLmJL6GGEsU8kU4XCy_?usp=sharing" TargetMode="External"/><Relationship Id="rId88" Type="http://schemas.openxmlformats.org/officeDocument/2006/relationships/hyperlink" Target="https://drive.google.com/drive/folders/1V1WsoNRHB7cdvOLmJL6GGEsU8kU4XCy_?usp=sharing" TargetMode="External"/><Relationship Id="rId87" Type="http://schemas.openxmlformats.org/officeDocument/2006/relationships/hyperlink" Target="https://drive.google.com/drive/folders/1V1WsoNRHB7cdvOLmJL6GGEsU8kU4XCy_?usp=sharing" TargetMode="External"/><Relationship Id="rId89" Type="http://schemas.openxmlformats.org/officeDocument/2006/relationships/hyperlink" Target="https://drive.google.com/drive/folders/1V1WsoNRHB7cdvOLmJL6GGEsU8kU4XCy_?usp=sharing" TargetMode="External"/><Relationship Id="rId80" Type="http://schemas.openxmlformats.org/officeDocument/2006/relationships/hyperlink" Target="https://drive.google.com/drive/folders/1V1WsoNRHB7cdvOLmJL6GGEsU8kU4XCy_?usp=sharing" TargetMode="External"/><Relationship Id="rId82" Type="http://schemas.openxmlformats.org/officeDocument/2006/relationships/hyperlink" Target="https://drive.google.com/drive/folders/1V1WsoNRHB7cdvOLmJL6GGEsU8kU4XCy_?usp=sharing" TargetMode="External"/><Relationship Id="rId81" Type="http://schemas.openxmlformats.org/officeDocument/2006/relationships/hyperlink" Target="https://drive.google.com/drive/folders/1V1WsoNRHB7cdvOLmJL6GGEsU8kU4XCy_?usp=sharing" TargetMode="External"/><Relationship Id="rId73" Type="http://schemas.openxmlformats.org/officeDocument/2006/relationships/hyperlink" Target="https://drive.google.com/drive/folders/1V1WsoNRHB7cdvOLmJL6GGEsU8kU4XCy_?usp=sharing" TargetMode="External"/><Relationship Id="rId72" Type="http://schemas.openxmlformats.org/officeDocument/2006/relationships/hyperlink" Target="https://drive.google.com/drive/folders/1V1WsoNRHB7cdvOLmJL6GGEsU8kU4XCy_?usp=sharing" TargetMode="External"/><Relationship Id="rId75" Type="http://schemas.openxmlformats.org/officeDocument/2006/relationships/hyperlink" Target="https://drive.google.com/drive/folders/1V1WsoNRHB7cdvOLmJL6GGEsU8kU4XCy_?usp=sharing" TargetMode="External"/><Relationship Id="rId74" Type="http://schemas.openxmlformats.org/officeDocument/2006/relationships/hyperlink" Target="https://drive.google.com/drive/folders/1V1WsoNRHB7cdvOLmJL6GGEsU8kU4XCy_?usp=sharing" TargetMode="External"/><Relationship Id="rId77" Type="http://schemas.openxmlformats.org/officeDocument/2006/relationships/hyperlink" Target="https://drive.google.com/drive/folders/1V1WsoNRHB7cdvOLmJL6GGEsU8kU4XCy_?usp=sharing" TargetMode="External"/><Relationship Id="rId76" Type="http://schemas.openxmlformats.org/officeDocument/2006/relationships/hyperlink" Target="https://drive.google.com/drive/folders/1V1WsoNRHB7cdvOLmJL6GGEsU8kU4XCy_?usp=sharing" TargetMode="External"/><Relationship Id="rId79" Type="http://schemas.openxmlformats.org/officeDocument/2006/relationships/hyperlink" Target="https://drive.google.com/drive/folders/1V1WsoNRHB7cdvOLmJL6GGEsU8kU4XCy_?usp=sharing" TargetMode="External"/><Relationship Id="rId78" Type="http://schemas.openxmlformats.org/officeDocument/2006/relationships/hyperlink" Target="https://drive.google.com/drive/folders/1V1WsoNRHB7cdvOLmJL6GGEsU8kU4XCy_?usp=sharing" TargetMode="External"/><Relationship Id="rId71" Type="http://schemas.openxmlformats.org/officeDocument/2006/relationships/hyperlink" Target="https://drive.google.com/drive/folders/1V1WsoNRHB7cdvOLmJL6GGEsU8kU4XCy_?usp=sharing" TargetMode="External"/><Relationship Id="rId70" Type="http://schemas.openxmlformats.org/officeDocument/2006/relationships/hyperlink" Target="https://drive.google.com/drive/folders/1V1WsoNRHB7cdvOLmJL6GGEsU8kU4XCy_?usp=sharing" TargetMode="External"/><Relationship Id="rId62" Type="http://schemas.openxmlformats.org/officeDocument/2006/relationships/hyperlink" Target="https://drive.google.com/drive/folders/1V1WsoNRHB7cdvOLmJL6GGEsU8kU4XCy_?usp=sharing" TargetMode="External"/><Relationship Id="rId61" Type="http://schemas.openxmlformats.org/officeDocument/2006/relationships/hyperlink" Target="https://drive.google.com/drive/folders/1V1WsoNRHB7cdvOLmJL6GGEsU8kU4XCy_?usp=sharing" TargetMode="External"/><Relationship Id="rId64" Type="http://schemas.openxmlformats.org/officeDocument/2006/relationships/hyperlink" Target="https://drive.google.com/drive/folders/1V1WsoNRHB7cdvOLmJL6GGEsU8kU4XCy_?usp=sharing" TargetMode="External"/><Relationship Id="rId63" Type="http://schemas.openxmlformats.org/officeDocument/2006/relationships/hyperlink" Target="https://drive.google.com/drive/folders/1V1WsoNRHB7cdvOLmJL6GGEsU8kU4XCy_?usp=sharing" TargetMode="External"/><Relationship Id="rId66" Type="http://schemas.openxmlformats.org/officeDocument/2006/relationships/hyperlink" Target="https://drive.google.com/drive/folders/1V1WsoNRHB7cdvOLmJL6GGEsU8kU4XCy_?usp=sharing" TargetMode="External"/><Relationship Id="rId65" Type="http://schemas.openxmlformats.org/officeDocument/2006/relationships/hyperlink" Target="https://drive.google.com/drive/folders/1V1WsoNRHB7cdvOLmJL6GGEsU8kU4XCy_?usp=sharing" TargetMode="External"/><Relationship Id="rId68" Type="http://schemas.openxmlformats.org/officeDocument/2006/relationships/hyperlink" Target="https://drive.google.com/drive/folders/1V1WsoNRHB7cdvOLmJL6GGEsU8kU4XCy_?usp=sharing" TargetMode="External"/><Relationship Id="rId67" Type="http://schemas.openxmlformats.org/officeDocument/2006/relationships/hyperlink" Target="https://drive.google.com/drive/folders/1V1WsoNRHB7cdvOLmJL6GGEsU8kU4XCy_?usp=sharing" TargetMode="External"/><Relationship Id="rId60" Type="http://schemas.openxmlformats.org/officeDocument/2006/relationships/hyperlink" Target="https://drive.google.com/drive/folders/1V1WsoNRHB7cdvOLmJL6GGEsU8kU4XCy_?usp=sharing" TargetMode="External"/><Relationship Id="rId69" Type="http://schemas.openxmlformats.org/officeDocument/2006/relationships/hyperlink" Target="https://drive.google.com/drive/folders/1V1WsoNRHB7cdvOLmJL6GGEsU8kU4XCy_?usp=sharing" TargetMode="External"/><Relationship Id="rId51" Type="http://schemas.openxmlformats.org/officeDocument/2006/relationships/hyperlink" Target="https://drive.google.com/drive/folders/1V1WsoNRHB7cdvOLmJL6GGEsU8kU4XCy_?usp=sharing" TargetMode="External"/><Relationship Id="rId50" Type="http://schemas.openxmlformats.org/officeDocument/2006/relationships/hyperlink" Target="https://drive.google.com/drive/folders/1V1WsoNRHB7cdvOLmJL6GGEsU8kU4XCy_?usp=sharing" TargetMode="External"/><Relationship Id="rId53" Type="http://schemas.openxmlformats.org/officeDocument/2006/relationships/hyperlink" Target="https://drive.google.com/drive/folders/1V1WsoNRHB7cdvOLmJL6GGEsU8kU4XCy_?usp=sharing" TargetMode="External"/><Relationship Id="rId52" Type="http://schemas.openxmlformats.org/officeDocument/2006/relationships/hyperlink" Target="https://drive.google.com/drive/folders/1V1WsoNRHB7cdvOLmJL6GGEsU8kU4XCy_?usp=sharing" TargetMode="External"/><Relationship Id="rId55" Type="http://schemas.openxmlformats.org/officeDocument/2006/relationships/hyperlink" Target="https://drive.google.com/drive/folders/1V1WsoNRHB7cdvOLmJL6GGEsU8kU4XCy_?usp=sharing" TargetMode="External"/><Relationship Id="rId54" Type="http://schemas.openxmlformats.org/officeDocument/2006/relationships/hyperlink" Target="https://drive.google.com/drive/folders/1V1WsoNRHB7cdvOLmJL6GGEsU8kU4XCy_?usp=sharing" TargetMode="External"/><Relationship Id="rId57" Type="http://schemas.openxmlformats.org/officeDocument/2006/relationships/hyperlink" Target="https://drive.google.com/drive/folders/1V1WsoNRHB7cdvOLmJL6GGEsU8kU4XCy_?usp=sharing" TargetMode="External"/><Relationship Id="rId56" Type="http://schemas.openxmlformats.org/officeDocument/2006/relationships/hyperlink" Target="https://drive.google.com/drive/folders/1V1WsoNRHB7cdvOLmJL6GGEsU8kU4XCy_?usp=sharing" TargetMode="External"/><Relationship Id="rId59" Type="http://schemas.openxmlformats.org/officeDocument/2006/relationships/hyperlink" Target="https://drive.google.com/drive/folders/1V1WsoNRHB7cdvOLmJL6GGEsU8kU4XCy_?usp=sharing" TargetMode="External"/><Relationship Id="rId58" Type="http://schemas.openxmlformats.org/officeDocument/2006/relationships/hyperlink" Target="https://drive.google.com/drive/folders/1V1WsoNRHB7cdvOLmJL6GGEsU8kU4XCy_?usp=sharing" TargetMode="External"/><Relationship Id="rId107" Type="http://schemas.openxmlformats.org/officeDocument/2006/relationships/hyperlink" Target="https://drive.google.com/drive/folders/1V1WsoNRHB7cdvOLmJL6GGEsU8kU4XCy_?usp=sharing" TargetMode="External"/><Relationship Id="rId106" Type="http://schemas.openxmlformats.org/officeDocument/2006/relationships/hyperlink" Target="https://drive.google.com/drive/folders/1V1WsoNRHB7cdvOLmJL6GGEsU8kU4XCy_?usp=sharing" TargetMode="External"/><Relationship Id="rId105" Type="http://schemas.openxmlformats.org/officeDocument/2006/relationships/hyperlink" Target="https://drive.google.com/drive/folders/1V1WsoNRHB7cdvOLmJL6GGEsU8kU4XCy_?usp=sharing" TargetMode="External"/><Relationship Id="rId104" Type="http://schemas.openxmlformats.org/officeDocument/2006/relationships/hyperlink" Target="https://drive.google.com/drive/folders/1V1WsoNRHB7cdvOLmJL6GGEsU8kU4XCy_?usp=sharing" TargetMode="External"/><Relationship Id="rId109" Type="http://schemas.openxmlformats.org/officeDocument/2006/relationships/hyperlink" Target="https://drive.google.com/drive/folders/1V1WsoNRHB7cdvOLmJL6GGEsU8kU4XCy_?usp=sharing" TargetMode="External"/><Relationship Id="rId108" Type="http://schemas.openxmlformats.org/officeDocument/2006/relationships/hyperlink" Target="https://drive.google.com/drive/folders/1V1WsoNRHB7cdvOLmJL6GGEsU8kU4XCy_?usp=sharing" TargetMode="External"/><Relationship Id="rId103" Type="http://schemas.openxmlformats.org/officeDocument/2006/relationships/hyperlink" Target="https://drive.google.com/drive/folders/1V1WsoNRHB7cdvOLmJL6GGEsU8kU4XCy_?usp=sharing" TargetMode="External"/><Relationship Id="rId102" Type="http://schemas.openxmlformats.org/officeDocument/2006/relationships/hyperlink" Target="https://drive.google.com/drive/folders/1V1WsoNRHB7cdvOLmJL6GGEsU8kU4XCy_?usp=sharing" TargetMode="External"/><Relationship Id="rId101" Type="http://schemas.openxmlformats.org/officeDocument/2006/relationships/hyperlink" Target="https://drive.google.com/drive/folders/1V1WsoNRHB7cdvOLmJL6GGEsU8kU4XCy_?usp=sharing" TargetMode="External"/><Relationship Id="rId100" Type="http://schemas.openxmlformats.org/officeDocument/2006/relationships/hyperlink" Target="https://drive.google.com/drive/folders/1V1WsoNRHB7cdvOLmJL6GGEsU8kU4XCy_?usp=sharing" TargetMode="External"/><Relationship Id="rId129" Type="http://schemas.openxmlformats.org/officeDocument/2006/relationships/hyperlink" Target="https://drive.google.com/drive/folders/1V1WsoNRHB7cdvOLmJL6GGEsU8kU4XCy_?usp=sharing" TargetMode="External"/><Relationship Id="rId128" Type="http://schemas.openxmlformats.org/officeDocument/2006/relationships/hyperlink" Target="https://drive.google.com/drive/folders/1V1WsoNRHB7cdvOLmJL6GGEsU8kU4XCy_?usp=sharing" TargetMode="External"/><Relationship Id="rId127" Type="http://schemas.openxmlformats.org/officeDocument/2006/relationships/hyperlink" Target="https://drive.google.com/drive/folders/1V1WsoNRHB7cdvOLmJL6GGEsU8kU4XCy_?usp=sharing" TargetMode="External"/><Relationship Id="rId126" Type="http://schemas.openxmlformats.org/officeDocument/2006/relationships/hyperlink" Target="https://drive.google.com/drive/folders/1V1WsoNRHB7cdvOLmJL6GGEsU8kU4XCy_?usp=sharing" TargetMode="External"/><Relationship Id="rId121" Type="http://schemas.openxmlformats.org/officeDocument/2006/relationships/hyperlink" Target="https://drive.google.com/drive/folders/1V1WsoNRHB7cdvOLmJL6GGEsU8kU4XCy_?usp=sharing" TargetMode="External"/><Relationship Id="rId120" Type="http://schemas.openxmlformats.org/officeDocument/2006/relationships/hyperlink" Target="https://drive.google.com/drive/folders/1V1WsoNRHB7cdvOLmJL6GGEsU8kU4XCy_?usp=sharing" TargetMode="External"/><Relationship Id="rId125" Type="http://schemas.openxmlformats.org/officeDocument/2006/relationships/hyperlink" Target="https://drive.google.com/drive/folders/1V1WsoNRHB7cdvOLmJL6GGEsU8kU4XCy_?usp=sharing" TargetMode="External"/><Relationship Id="rId124" Type="http://schemas.openxmlformats.org/officeDocument/2006/relationships/hyperlink" Target="https://drive.google.com/drive/folders/1V1WsoNRHB7cdvOLmJL6GGEsU8kU4XCy_?usp=sharing" TargetMode="External"/><Relationship Id="rId123" Type="http://schemas.openxmlformats.org/officeDocument/2006/relationships/hyperlink" Target="https://drive.google.com/drive/folders/1V1WsoNRHB7cdvOLmJL6GGEsU8kU4XCy_?usp=sharing" TargetMode="External"/><Relationship Id="rId122" Type="http://schemas.openxmlformats.org/officeDocument/2006/relationships/hyperlink" Target="https://drive.google.com/drive/folders/1V1WsoNRHB7cdvOLmJL6GGEsU8kU4XCy_?usp=sharing" TargetMode="External"/><Relationship Id="rId95" Type="http://schemas.openxmlformats.org/officeDocument/2006/relationships/hyperlink" Target="https://drive.google.com/drive/folders/1V1WsoNRHB7cdvOLmJL6GGEsU8kU4XCy_?usp=sharing" TargetMode="External"/><Relationship Id="rId94" Type="http://schemas.openxmlformats.org/officeDocument/2006/relationships/hyperlink" Target="https://drive.google.com/drive/folders/1V1WsoNRHB7cdvOLmJL6GGEsU8kU4XCy_?usp=sharing" TargetMode="External"/><Relationship Id="rId97" Type="http://schemas.openxmlformats.org/officeDocument/2006/relationships/hyperlink" Target="https://drive.google.com/drive/folders/1V1WsoNRHB7cdvOLmJL6GGEsU8kU4XCy_?usp=sharing" TargetMode="External"/><Relationship Id="rId96" Type="http://schemas.openxmlformats.org/officeDocument/2006/relationships/hyperlink" Target="https://drive.google.com/drive/folders/1V1WsoNRHB7cdvOLmJL6GGEsU8kU4XCy_?usp=sharing" TargetMode="External"/><Relationship Id="rId99" Type="http://schemas.openxmlformats.org/officeDocument/2006/relationships/hyperlink" Target="https://drive.google.com/drive/folders/1V1WsoNRHB7cdvOLmJL6GGEsU8kU4XCy_?usp=sharing" TargetMode="External"/><Relationship Id="rId98" Type="http://schemas.openxmlformats.org/officeDocument/2006/relationships/hyperlink" Target="https://drive.google.com/drive/folders/1V1WsoNRHB7cdvOLmJL6GGEsU8kU4XCy_?usp=sharing" TargetMode="External"/><Relationship Id="rId91" Type="http://schemas.openxmlformats.org/officeDocument/2006/relationships/hyperlink" Target="https://drive.google.com/drive/folders/1V1WsoNRHB7cdvOLmJL6GGEsU8kU4XCy_?usp=sharing" TargetMode="External"/><Relationship Id="rId90" Type="http://schemas.openxmlformats.org/officeDocument/2006/relationships/hyperlink" Target="https://drive.google.com/drive/folders/1V1WsoNRHB7cdvOLmJL6GGEsU8kU4XCy_?usp=sharing" TargetMode="External"/><Relationship Id="rId93" Type="http://schemas.openxmlformats.org/officeDocument/2006/relationships/hyperlink" Target="https://drive.google.com/drive/folders/1V1WsoNRHB7cdvOLmJL6GGEsU8kU4XCy_?usp=sharing" TargetMode="External"/><Relationship Id="rId92" Type="http://schemas.openxmlformats.org/officeDocument/2006/relationships/hyperlink" Target="https://drive.google.com/drive/folders/1V1WsoNRHB7cdvOLmJL6GGEsU8kU4XCy_?usp=sharing" TargetMode="External"/><Relationship Id="rId118" Type="http://schemas.openxmlformats.org/officeDocument/2006/relationships/hyperlink" Target="https://drive.google.com/drive/folders/1V1WsoNRHB7cdvOLmJL6GGEsU8kU4XCy_?usp=sharing" TargetMode="External"/><Relationship Id="rId117" Type="http://schemas.openxmlformats.org/officeDocument/2006/relationships/hyperlink" Target="https://drive.google.com/drive/folders/1V1WsoNRHB7cdvOLmJL6GGEsU8kU4XCy_?usp=sharing" TargetMode="External"/><Relationship Id="rId116" Type="http://schemas.openxmlformats.org/officeDocument/2006/relationships/hyperlink" Target="https://drive.google.com/drive/folders/1V1WsoNRHB7cdvOLmJL6GGEsU8kU4XCy_?usp=sharing" TargetMode="External"/><Relationship Id="rId115" Type="http://schemas.openxmlformats.org/officeDocument/2006/relationships/hyperlink" Target="https://drive.google.com/drive/folders/1V1WsoNRHB7cdvOLmJL6GGEsU8kU4XCy_?usp=sharing" TargetMode="External"/><Relationship Id="rId119" Type="http://schemas.openxmlformats.org/officeDocument/2006/relationships/hyperlink" Target="https://drive.google.com/drive/folders/1V1WsoNRHB7cdvOLmJL6GGEsU8kU4XCy_?usp=sharing" TargetMode="External"/><Relationship Id="rId110" Type="http://schemas.openxmlformats.org/officeDocument/2006/relationships/hyperlink" Target="https://drive.google.com/drive/folders/1V1WsoNRHB7cdvOLmJL6GGEsU8kU4XCy_?usp=sharing" TargetMode="External"/><Relationship Id="rId114" Type="http://schemas.openxmlformats.org/officeDocument/2006/relationships/hyperlink" Target="https://drive.google.com/drive/folders/1V1WsoNRHB7cdvOLmJL6GGEsU8kU4XCy_?usp=sharing" TargetMode="External"/><Relationship Id="rId113" Type="http://schemas.openxmlformats.org/officeDocument/2006/relationships/hyperlink" Target="https://drive.google.com/drive/folders/1V1WsoNRHB7cdvOLmJL6GGEsU8kU4XCy_?usp=sharing" TargetMode="External"/><Relationship Id="rId112" Type="http://schemas.openxmlformats.org/officeDocument/2006/relationships/hyperlink" Target="https://drive.google.com/drive/folders/1V1WsoNRHB7cdvOLmJL6GGEsU8kU4XCy_?usp=sharing" TargetMode="External"/><Relationship Id="rId111" Type="http://schemas.openxmlformats.org/officeDocument/2006/relationships/hyperlink" Target="https://drive.google.com/drive/folders/1V1WsoNRHB7cdvOLmJL6GGEsU8kU4XCy_?usp=sharing" TargetMode="External"/><Relationship Id="rId200"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scopus.com/authid/detail.uri?authorId=35424564900" TargetMode="External"/><Relationship Id="rId3" Type="http://schemas.openxmlformats.org/officeDocument/2006/relationships/hyperlink" Target="https://www.scopus.com/authid/detail.uri?authorId=54790887100" TargetMode="External"/><Relationship Id="rId4" Type="http://schemas.openxmlformats.org/officeDocument/2006/relationships/hyperlink" Target="https://www.scopus.com/authid/detail.uri?authorId=56516977800" TargetMode="External"/><Relationship Id="rId9" Type="http://schemas.openxmlformats.org/officeDocument/2006/relationships/hyperlink" Target="https://www.scopus.com/authid/detail.uri?authorId=54791173900" TargetMode="External"/><Relationship Id="rId5" Type="http://schemas.openxmlformats.org/officeDocument/2006/relationships/hyperlink" Target="https://www.scopus.com/authid/detail.uri?authorId=57201685035" TargetMode="External"/><Relationship Id="rId6" Type="http://schemas.openxmlformats.org/officeDocument/2006/relationships/hyperlink" Target="https://www.scopus.com/authid/detail.uri?authorId=54791372300" TargetMode="External"/><Relationship Id="rId7" Type="http://schemas.openxmlformats.org/officeDocument/2006/relationships/hyperlink" Target="https://www.scopus.com/authid/detail.uri?authorId=57193707432" TargetMode="External"/><Relationship Id="rId8" Type="http://schemas.openxmlformats.org/officeDocument/2006/relationships/hyperlink" Target="https://www.scopus.com/authid/detail.uri?authorId=57194008191" TargetMode="External"/><Relationship Id="rId40" Type="http://schemas.openxmlformats.org/officeDocument/2006/relationships/hyperlink" Target="https://www.scopus.com/authid/detail.uri?authorId=57771609600" TargetMode="External"/><Relationship Id="rId42" Type="http://schemas.openxmlformats.org/officeDocument/2006/relationships/hyperlink" Target="https://www.scopus.com/authid/detail.uri?authorId=57956375200" TargetMode="External"/><Relationship Id="rId41" Type="http://schemas.openxmlformats.org/officeDocument/2006/relationships/hyperlink" Target="https://www.scopus.com/authid/detail.uri?authorId=57221594540" TargetMode="External"/><Relationship Id="rId44" Type="http://schemas.openxmlformats.org/officeDocument/2006/relationships/hyperlink" Target="https://www.scopus.com/authid/detail.uri?authorId=58575328800" TargetMode="External"/><Relationship Id="rId43" Type="http://schemas.openxmlformats.org/officeDocument/2006/relationships/hyperlink" Target="https://www.scopus.com/authid/detail.uri?authorId=57208013659" TargetMode="External"/><Relationship Id="rId46" Type="http://schemas.openxmlformats.org/officeDocument/2006/relationships/hyperlink" Target="https://www.scopus.com/authid/detail.uri?authorId=36930410300" TargetMode="External"/><Relationship Id="rId45" Type="http://schemas.openxmlformats.org/officeDocument/2006/relationships/hyperlink" Target="https://www.scopus.com/authid/detail.uri?authorId=57431400300" TargetMode="External"/><Relationship Id="rId48" Type="http://schemas.openxmlformats.org/officeDocument/2006/relationships/hyperlink" Target="https://www.scopus.com/authid/detail.uri?authorId=57190007332" TargetMode="External"/><Relationship Id="rId47" Type="http://schemas.openxmlformats.org/officeDocument/2006/relationships/hyperlink" Target="https://www.scopus.com/authid/detail.uri?authorId=57189999642" TargetMode="External"/><Relationship Id="rId49" Type="http://schemas.openxmlformats.org/officeDocument/2006/relationships/hyperlink" Target="https://www.scopus.com/authid/detail.uri?authorId=57189998792" TargetMode="External"/><Relationship Id="rId31" Type="http://schemas.openxmlformats.org/officeDocument/2006/relationships/hyperlink" Target="https://www.scopus.com/authid/detail.uri?authorId=57192639461" TargetMode="External"/><Relationship Id="rId30" Type="http://schemas.openxmlformats.org/officeDocument/2006/relationships/hyperlink" Target="https://www.scopus.com/authid/detail.uri?authorId=57197798404" TargetMode="External"/><Relationship Id="rId33" Type="http://schemas.openxmlformats.org/officeDocument/2006/relationships/hyperlink" Target="https://www.scopus.com/authid/detail.uri?authorId=57197837216" TargetMode="External"/><Relationship Id="rId32" Type="http://schemas.openxmlformats.org/officeDocument/2006/relationships/hyperlink" Target="https://www.scopus.com/authid/detail.uri?authorId=53264599900" TargetMode="External"/><Relationship Id="rId35" Type="http://schemas.openxmlformats.org/officeDocument/2006/relationships/hyperlink" Target="https://www.scopus.com/authid/detail.uri?authorId=57469675500" TargetMode="External"/><Relationship Id="rId34" Type="http://schemas.openxmlformats.org/officeDocument/2006/relationships/hyperlink" Target="https://www.scopus.com/authid/detail.uri?authorId=56410803300" TargetMode="External"/><Relationship Id="rId37" Type="http://schemas.openxmlformats.org/officeDocument/2006/relationships/hyperlink" Target="https://www.scopus.com/authid/detail.uri?authorId=15925429100" TargetMode="External"/><Relationship Id="rId36" Type="http://schemas.openxmlformats.org/officeDocument/2006/relationships/hyperlink" Target="https://www.scopus.com/authid/detail.uri?authorId=58127234400" TargetMode="External"/><Relationship Id="rId39" Type="http://schemas.openxmlformats.org/officeDocument/2006/relationships/hyperlink" Target="https://www.scopus.com/authid/detail.uri?authorId=57205125029" TargetMode="External"/><Relationship Id="rId38" Type="http://schemas.openxmlformats.org/officeDocument/2006/relationships/hyperlink" Target="https://www.scopus.com/authid/detail.uri?authorId=36816663700" TargetMode="External"/><Relationship Id="rId20" Type="http://schemas.openxmlformats.org/officeDocument/2006/relationships/hyperlink" Target="https://www.scopus.com/authid/detail.uri?authorId=57261462900" TargetMode="External"/><Relationship Id="rId22" Type="http://schemas.openxmlformats.org/officeDocument/2006/relationships/hyperlink" Target="https://www.scopus.com/authid/detail.uri?authorId=57189242768" TargetMode="External"/><Relationship Id="rId21" Type="http://schemas.openxmlformats.org/officeDocument/2006/relationships/hyperlink" Target="https://www.scopus.com/authid/detail.uri?authorId=56986274000" TargetMode="External"/><Relationship Id="rId24" Type="http://schemas.openxmlformats.org/officeDocument/2006/relationships/hyperlink" Target="https://www.scopus.com/authid/detail.uri?authorId=57193448158" TargetMode="External"/><Relationship Id="rId23" Type="http://schemas.openxmlformats.org/officeDocument/2006/relationships/hyperlink" Target="https://www.scopus.com/authid/detail.uri?authorId=57215532751" TargetMode="External"/><Relationship Id="rId26" Type="http://schemas.openxmlformats.org/officeDocument/2006/relationships/hyperlink" Target="https://www.scopus.com/authid/detail.uri?authorId=57221524569" TargetMode="External"/><Relationship Id="rId25" Type="http://schemas.openxmlformats.org/officeDocument/2006/relationships/hyperlink" Target="https://www.scopus.com/authid/detail.uri?authorId=54797353100" TargetMode="External"/><Relationship Id="rId28" Type="http://schemas.openxmlformats.org/officeDocument/2006/relationships/hyperlink" Target="https://www.scopus.com/authid/detail.uri?authorId=57211254409" TargetMode="External"/><Relationship Id="rId27" Type="http://schemas.openxmlformats.org/officeDocument/2006/relationships/hyperlink" Target="https://www.scopus.com/authid/detail.uri?authorId=57215292485" TargetMode="External"/><Relationship Id="rId29" Type="http://schemas.openxmlformats.org/officeDocument/2006/relationships/hyperlink" Target="https://www.scopus.com/authid/detail.uri?authorId=57216335857" TargetMode="External"/><Relationship Id="rId11" Type="http://schemas.openxmlformats.org/officeDocument/2006/relationships/hyperlink" Target="https://www.scopus.com/authid/detail.uri?authorId=57216459699" TargetMode="External"/><Relationship Id="rId10" Type="http://schemas.openxmlformats.org/officeDocument/2006/relationships/hyperlink" Target="https://www.scopus.com/authid/detail.uri?authorId=57202836985" TargetMode="External"/><Relationship Id="rId13" Type="http://schemas.openxmlformats.org/officeDocument/2006/relationships/hyperlink" Target="https://www.scopus.com/authid/detail.uri?authorId=58564688600" TargetMode="External"/><Relationship Id="rId12" Type="http://schemas.openxmlformats.org/officeDocument/2006/relationships/hyperlink" Target="https://www.scopus.com/authid/detail.uri?authorId=57194604391" TargetMode="External"/><Relationship Id="rId15" Type="http://schemas.openxmlformats.org/officeDocument/2006/relationships/hyperlink" Target="https://www.scopus.com/authid/detail.uri?authorId=57204889974" TargetMode="External"/><Relationship Id="rId14" Type="http://schemas.openxmlformats.org/officeDocument/2006/relationships/hyperlink" Target="https://www.scopus.com/authid/detail.uri?authorId=56741484700" TargetMode="External"/><Relationship Id="rId17" Type="http://schemas.openxmlformats.org/officeDocument/2006/relationships/hyperlink" Target="https://www.scopus.com/authid/detail.uri?authorId=57196116098" TargetMode="External"/><Relationship Id="rId16" Type="http://schemas.openxmlformats.org/officeDocument/2006/relationships/hyperlink" Target="https://www.scopus.com/authid/detail.uri?authorId=56669695700" TargetMode="External"/><Relationship Id="rId19" Type="http://schemas.openxmlformats.org/officeDocument/2006/relationships/hyperlink" Target="https://www.scopus.com/authid/detail.uri?authorId=57201134787" TargetMode="External"/><Relationship Id="rId18" Type="http://schemas.openxmlformats.org/officeDocument/2006/relationships/hyperlink" Target="https://www.scopus.com/authid/detail.uri?authorId=57207760083" TargetMode="External"/><Relationship Id="rId70" Type="http://schemas.openxmlformats.org/officeDocument/2006/relationships/vmlDrawing" Target="../drawings/vmlDrawing1.vml"/><Relationship Id="rId62" Type="http://schemas.openxmlformats.org/officeDocument/2006/relationships/hyperlink" Target="https://www.scopus.com/authid/detail.uri?authorId=57221730719" TargetMode="External"/><Relationship Id="rId61" Type="http://schemas.openxmlformats.org/officeDocument/2006/relationships/hyperlink" Target="https://www.scopus.com/authid/detail.uri?authorId=57214779349" TargetMode="External"/><Relationship Id="rId64" Type="http://schemas.openxmlformats.org/officeDocument/2006/relationships/hyperlink" Target="https://www.scopus.com/authid/detail.uri?authorId=57192266388" TargetMode="External"/><Relationship Id="rId63" Type="http://schemas.openxmlformats.org/officeDocument/2006/relationships/hyperlink" Target="https://www.scopus.com/authid/detail.uri?authorId=57188977950" TargetMode="External"/><Relationship Id="rId66" Type="http://schemas.openxmlformats.org/officeDocument/2006/relationships/hyperlink" Target="https://www.scopus.com/authid/detail.uri?authorId=57210913843" TargetMode="External"/><Relationship Id="rId65" Type="http://schemas.openxmlformats.org/officeDocument/2006/relationships/hyperlink" Target="https://www.scopus.com/authid/detail.uri?authorId=57220783577" TargetMode="External"/><Relationship Id="rId68" Type="http://schemas.openxmlformats.org/officeDocument/2006/relationships/hyperlink" Target="https://www.scopus.com/authid/detail.uri?authorId=57200534945" TargetMode="External"/><Relationship Id="rId67" Type="http://schemas.openxmlformats.org/officeDocument/2006/relationships/hyperlink" Target="https://www.scopus.com/authid/detail.uri?authorId=57383807300" TargetMode="External"/><Relationship Id="rId60" Type="http://schemas.openxmlformats.org/officeDocument/2006/relationships/hyperlink" Target="https://www.scopus.com/authid/detail.uri?authorId=55331105300" TargetMode="External"/><Relationship Id="rId69" Type="http://schemas.openxmlformats.org/officeDocument/2006/relationships/drawing" Target="../drawings/drawing8.xml"/><Relationship Id="rId51" Type="http://schemas.openxmlformats.org/officeDocument/2006/relationships/hyperlink" Target="https://www.scopus.com/results/authorNamesList.uri?name=name&amp;st1=riski&amp;st2=miranti+jatnika&amp;origin=searchauthorlookup" TargetMode="External"/><Relationship Id="rId50" Type="http://schemas.openxmlformats.org/officeDocument/2006/relationships/hyperlink" Target="https://www.scopus.com/results/authorNamesList.uri?name=name&amp;st1=saifullah&amp;st2=zain&amp;origin=searchauthorlookup" TargetMode="External"/><Relationship Id="rId53" Type="http://schemas.openxmlformats.org/officeDocument/2006/relationships/hyperlink" Target="https://www.scopus.com/results/authorNamesList.uri?name=name&amp;st1=riski&amp;st2=miranti+jatnika&amp;origin=searchauthorlookup" TargetMode="External"/><Relationship Id="rId52" Type="http://schemas.openxmlformats.org/officeDocument/2006/relationships/hyperlink" Target="https://www.scopus.com/results/authorNamesList.uri?name=name&amp;st1=untariyati&amp;st2=nimas+ayu&amp;origin=searchauthorlookup" TargetMode="External"/><Relationship Id="rId55" Type="http://schemas.openxmlformats.org/officeDocument/2006/relationships/hyperlink" Target="https://www.scopus.com/results/authorNamesList.uri?name=name&amp;st1=mahda&amp;st2=friyogi&amp;origin=searchauthorlookup" TargetMode="External"/><Relationship Id="rId54" Type="http://schemas.openxmlformats.org/officeDocument/2006/relationships/hyperlink" Target="https://www.scopus.com/authid/detail.uri?authorId=57216355031" TargetMode="External"/><Relationship Id="rId57" Type="http://schemas.openxmlformats.org/officeDocument/2006/relationships/hyperlink" Target="https://www.scopus.com/authid/detail.uri?authorId=58126025300" TargetMode="External"/><Relationship Id="rId56" Type="http://schemas.openxmlformats.org/officeDocument/2006/relationships/hyperlink" Target="https://www.scopus.com/authid/detail.uri?authorId=57190489490" TargetMode="External"/><Relationship Id="rId59" Type="http://schemas.openxmlformats.org/officeDocument/2006/relationships/hyperlink" Target="https://www.scopus.com/authid/detail.uri?authorId=57204890242" TargetMode="External"/><Relationship Id="rId58" Type="http://schemas.openxmlformats.org/officeDocument/2006/relationships/hyperlink" Target="https://www.scopus.com/results/authorNamesList.uri?name=name&amp;st1=bisri&amp;st2=aria&amp;origin=searchauthorlookup"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1.22" defaultRowHeight="15.0"/>
  <cols>
    <col customWidth="1" min="1" max="1" width="3.0"/>
    <col customWidth="1" min="2" max="2" width="11.44"/>
    <col customWidth="1" min="3" max="3" width="12.11"/>
    <col customWidth="1" min="4" max="4" width="2.67"/>
    <col customWidth="1" min="5" max="5" width="68.67"/>
    <col customWidth="1" min="6" max="6" width="31.11"/>
    <col customWidth="1" min="7" max="7" width="28.0"/>
    <col customWidth="1" min="8" max="8" width="21.78"/>
    <col customWidth="1" min="9" max="12" width="19.56"/>
    <col customWidth="1" min="13" max="13" width="14.44"/>
    <col customWidth="1" min="14" max="14" width="15.11"/>
    <col customWidth="1" min="15" max="15" width="15.0"/>
    <col customWidth="1" min="16" max="16" width="8.67"/>
    <col customWidth="1" min="17" max="17" width="8.22"/>
    <col customWidth="1" min="18" max="18" width="24.0"/>
    <col customWidth="1" min="19" max="19" width="7.56"/>
    <col customWidth="1" min="20" max="20" width="10.11"/>
    <col customWidth="1" min="21" max="21" width="7.56"/>
    <col customWidth="1" min="22" max="22" width="24.11"/>
    <col customWidth="1" min="23" max="23" width="27.78"/>
    <col customWidth="1" min="24" max="24" width="50.78"/>
    <col customWidth="1" min="25" max="25" width="6.22"/>
    <col customWidth="1" hidden="1" min="26" max="27" width="6.22"/>
    <col customWidth="1" hidden="1" min="28" max="29" width="12.89"/>
    <col customWidth="1" min="30" max="39" width="12.89"/>
  </cols>
  <sheetData>
    <row r="1">
      <c r="A1" s="1" t="s">
        <v>0</v>
      </c>
    </row>
    <row r="4" ht="15.75" customHeight="1">
      <c r="A4" s="2" t="s">
        <v>1</v>
      </c>
      <c r="B4" s="3"/>
      <c r="C4" s="3"/>
      <c r="D4" s="4"/>
      <c r="E4" s="5" t="s">
        <v>2</v>
      </c>
      <c r="F4" s="6"/>
      <c r="G4" s="7" t="s">
        <v>3</v>
      </c>
      <c r="H4" s="8"/>
      <c r="I4" s="8"/>
      <c r="J4" s="8"/>
      <c r="K4" s="9"/>
      <c r="L4" s="10"/>
      <c r="M4" s="10"/>
      <c r="N4" s="10"/>
      <c r="O4" s="11"/>
      <c r="P4" s="11"/>
      <c r="Q4" s="11"/>
      <c r="R4" s="11"/>
      <c r="S4" s="11"/>
      <c r="T4" s="11"/>
      <c r="U4" s="12" t="s">
        <v>4</v>
      </c>
      <c r="V4" s="13"/>
      <c r="W4" s="14"/>
      <c r="X4" s="15"/>
    </row>
    <row r="5">
      <c r="A5" s="16" t="s">
        <v>5</v>
      </c>
      <c r="B5" s="17" t="s">
        <v>6</v>
      </c>
      <c r="C5" s="17" t="s">
        <v>7</v>
      </c>
      <c r="D5" s="18" t="s">
        <v>8</v>
      </c>
      <c r="E5" s="19" t="s">
        <v>9</v>
      </c>
      <c r="F5" s="19" t="s">
        <v>10</v>
      </c>
      <c r="G5" s="20">
        <v>1.0</v>
      </c>
      <c r="H5" s="21">
        <v>2.0</v>
      </c>
      <c r="I5" s="21">
        <v>3.0</v>
      </c>
      <c r="J5" s="21">
        <v>4.0</v>
      </c>
      <c r="K5" s="22">
        <v>5.0</v>
      </c>
      <c r="L5" s="22">
        <v>6.0</v>
      </c>
      <c r="M5" s="22">
        <v>7.0</v>
      </c>
      <c r="N5" s="23">
        <v>8.0</v>
      </c>
      <c r="O5" s="23" t="s">
        <v>11</v>
      </c>
      <c r="P5" s="19" t="s">
        <v>12</v>
      </c>
      <c r="Q5" s="19" t="s">
        <v>13</v>
      </c>
      <c r="R5" s="19" t="s">
        <v>14</v>
      </c>
      <c r="S5" s="19" t="s">
        <v>15</v>
      </c>
      <c r="T5" s="19" t="s">
        <v>16</v>
      </c>
      <c r="U5" s="24" t="s">
        <v>17</v>
      </c>
      <c r="V5" s="25" t="s">
        <v>18</v>
      </c>
      <c r="W5" s="25" t="s">
        <v>19</v>
      </c>
      <c r="X5" s="26" t="s">
        <v>20</v>
      </c>
      <c r="Z5" s="27"/>
      <c r="AC5" s="27"/>
      <c r="AD5" s="27"/>
      <c r="AE5" s="27"/>
      <c r="AF5" s="27"/>
      <c r="AG5" s="27"/>
      <c r="AH5" s="27"/>
      <c r="AI5" s="27"/>
      <c r="AJ5" s="27"/>
      <c r="AK5" s="27"/>
      <c r="AL5" s="27"/>
      <c r="AM5" s="27"/>
    </row>
    <row r="6" ht="37.5" customHeight="1">
      <c r="A6" s="28">
        <v>1.0</v>
      </c>
      <c r="B6" s="29">
        <f t="shared" ref="B6:B85" si="1">IF(E6&lt;&gt;"",IF(B6="",NOW(),B6),"")</f>
        <v>45347.65752</v>
      </c>
      <c r="C6" s="30" t="s">
        <v>21</v>
      </c>
      <c r="D6" s="31"/>
      <c r="E6" s="32" t="s">
        <v>22</v>
      </c>
      <c r="F6" s="33" t="s">
        <v>23</v>
      </c>
      <c r="G6" s="34" t="s">
        <v>24</v>
      </c>
      <c r="H6" s="35"/>
      <c r="I6" s="35"/>
      <c r="J6" s="35"/>
      <c r="K6" s="35"/>
      <c r="L6" s="35"/>
      <c r="M6" s="35"/>
      <c r="N6" s="35"/>
      <c r="O6" s="36" t="s">
        <v>25</v>
      </c>
      <c r="P6" s="36" t="s">
        <v>26</v>
      </c>
      <c r="Q6" s="36" t="s">
        <v>27</v>
      </c>
      <c r="R6" s="36" t="s">
        <v>28</v>
      </c>
      <c r="S6" s="36" t="s">
        <v>29</v>
      </c>
      <c r="T6" s="36" t="s">
        <v>30</v>
      </c>
      <c r="U6" s="37" t="s">
        <v>31</v>
      </c>
      <c r="V6" s="38"/>
      <c r="W6" s="39" t="s">
        <v>32</v>
      </c>
      <c r="X6" s="40"/>
      <c r="Z6" s="41" t="str">
        <f>IFERROR(__xludf.DUMMYFUNCTION("IMPORTRANGE(""https://docs.google.com/spreadsheets/d/1uREY05dC3v6oTR1bLI-b3VlRJk1GrRaib0uwUj-1r_A/edit"", ""PI!B3:E800"")"),"Electronic Correlations Enhance Optical Absorption in Graphene Oxide-Modified Methylammonium Lead Iodide Perovskite")</f>
        <v>Electronic Correlations Enhance Optical Absorption in Graphene Oxide-Modified Methylammonium Lead Iodide Perovskite</v>
      </c>
      <c r="AA6" s="42" t="str">
        <f>IFERROR(__xludf.DUMMYFUNCTION("""COMPUTED_VALUE"""),"Published")</f>
        <v>Published</v>
      </c>
      <c r="AB6" s="43"/>
      <c r="AC6" s="44" t="str">
        <f>IFERROR(__xludf.DUMMYFUNCTION("""COMPUTED_VALUE"""),"https://doi.org/10.1016/j.jallcom.2023.169634")</f>
        <v>https://doi.org/10.1016/j.jallcom.2023.169634</v>
      </c>
      <c r="AD6" s="45"/>
      <c r="AE6" s="45"/>
      <c r="AF6" s="45"/>
      <c r="AG6" s="45"/>
      <c r="AH6" s="45"/>
      <c r="AI6" s="45"/>
      <c r="AJ6" s="45"/>
      <c r="AK6" s="45"/>
      <c r="AL6" s="45"/>
      <c r="AM6" s="45"/>
    </row>
    <row r="7" ht="37.5" customHeight="1">
      <c r="A7" s="46">
        <v>2.0</v>
      </c>
      <c r="B7" s="29">
        <f t="shared" si="1"/>
        <v>45347.65752</v>
      </c>
      <c r="C7" s="30" t="s">
        <v>21</v>
      </c>
      <c r="D7" s="47"/>
      <c r="E7" s="48" t="s">
        <v>33</v>
      </c>
      <c r="F7" s="49" t="s">
        <v>34</v>
      </c>
      <c r="G7" s="34" t="s">
        <v>35</v>
      </c>
      <c r="H7" s="36" t="s">
        <v>36</v>
      </c>
      <c r="I7" s="36" t="s">
        <v>37</v>
      </c>
      <c r="J7" s="36" t="s">
        <v>38</v>
      </c>
      <c r="K7" s="36" t="s">
        <v>39</v>
      </c>
      <c r="L7" s="36" t="s">
        <v>40</v>
      </c>
      <c r="M7" s="35"/>
      <c r="N7" s="35"/>
      <c r="O7" s="36" t="s">
        <v>41</v>
      </c>
      <c r="P7" s="36" t="s">
        <v>26</v>
      </c>
      <c r="Q7" s="36" t="s">
        <v>27</v>
      </c>
      <c r="R7" s="36" t="s">
        <v>42</v>
      </c>
      <c r="S7" s="36" t="s">
        <v>29</v>
      </c>
      <c r="T7" s="36" t="s">
        <v>43</v>
      </c>
      <c r="U7" s="37" t="s">
        <v>31</v>
      </c>
      <c r="V7" s="35"/>
      <c r="W7" s="39" t="s">
        <v>44</v>
      </c>
      <c r="X7" s="50"/>
      <c r="Z7" s="51" t="str">
        <f>IFERROR(__xludf.DUMMYFUNCTION("""COMPUTED_VALUE"""),"Determination of colorant type in yellow tofu using Vis-NIR and SW-NIR spectroscopy")</f>
        <v>Determination of colorant type in yellow tofu using Vis-NIR and SW-NIR spectroscopy</v>
      </c>
      <c r="AA7" s="51" t="str">
        <f>IFERROR(__xludf.DUMMYFUNCTION("""COMPUTED_VALUE"""),"Published")</f>
        <v>Published</v>
      </c>
      <c r="AB7" s="51"/>
      <c r="AC7" s="52" t="str">
        <f>IFERROR(__xludf.DUMMYFUNCTION("""COMPUTED_VALUE"""),"https://doi.org/10.1590/fst.1124222")</f>
        <v>https://doi.org/10.1590/fst.1124222</v>
      </c>
      <c r="AD7" s="53"/>
      <c r="AE7" s="53"/>
      <c r="AF7" s="53"/>
      <c r="AG7" s="53"/>
      <c r="AH7" s="53"/>
      <c r="AI7" s="53"/>
      <c r="AJ7" s="53"/>
      <c r="AK7" s="53"/>
      <c r="AL7" s="53"/>
      <c r="AM7" s="53"/>
    </row>
    <row r="8" ht="37.5" customHeight="1">
      <c r="A8" s="46">
        <v>3.0</v>
      </c>
      <c r="B8" s="29">
        <f t="shared" si="1"/>
        <v>45347.65752</v>
      </c>
      <c r="C8" s="30" t="s">
        <v>21</v>
      </c>
      <c r="D8" s="54"/>
      <c r="E8" s="48" t="s">
        <v>45</v>
      </c>
      <c r="F8" s="49" t="s">
        <v>46</v>
      </c>
      <c r="G8" s="34" t="s">
        <v>47</v>
      </c>
      <c r="H8" s="35"/>
      <c r="I8" s="35"/>
      <c r="J8" s="35"/>
      <c r="K8" s="35"/>
      <c r="L8" s="35"/>
      <c r="M8" s="35"/>
      <c r="N8" s="35"/>
      <c r="O8" s="36" t="s">
        <v>48</v>
      </c>
      <c r="P8" s="36" t="s">
        <v>26</v>
      </c>
      <c r="Q8" s="36" t="s">
        <v>27</v>
      </c>
      <c r="R8" s="36" t="s">
        <v>49</v>
      </c>
      <c r="S8" s="36" t="s">
        <v>29</v>
      </c>
      <c r="T8" s="36" t="s">
        <v>30</v>
      </c>
      <c r="U8" s="37" t="s">
        <v>31</v>
      </c>
      <c r="V8" s="35"/>
      <c r="W8" s="39" t="s">
        <v>50</v>
      </c>
      <c r="X8" s="55" t="s">
        <v>51</v>
      </c>
      <c r="Z8" s="51" t="str">
        <f>IFERROR(__xludf.DUMMYFUNCTION("""COMPUTED_VALUE"""),"Lithium-ion battery performance improvement using two-dimensional materials")</f>
        <v>Lithium-ion battery performance improvement using two-dimensional materials</v>
      </c>
      <c r="AA8" s="51" t="str">
        <f>IFERROR(__xludf.DUMMYFUNCTION("""COMPUTED_VALUE"""),"Published")</f>
        <v>Published</v>
      </c>
      <c r="AB8" s="56"/>
      <c r="AC8" s="44" t="str">
        <f>IFERROR(__xludf.DUMMYFUNCTION("""COMPUTED_VALUE"""),"https://doi.org/10.1590/fst.112422")</f>
        <v>https://doi.org/10.1590/fst.112422</v>
      </c>
      <c r="AD8" s="45"/>
      <c r="AE8" s="45"/>
      <c r="AF8" s="45"/>
      <c r="AG8" s="45"/>
      <c r="AH8" s="45"/>
      <c r="AI8" s="45"/>
      <c r="AJ8" s="45"/>
      <c r="AK8" s="45"/>
      <c r="AL8" s="45"/>
      <c r="AM8" s="45"/>
    </row>
    <row r="9" ht="37.5" customHeight="1">
      <c r="A9" s="46">
        <v>4.0</v>
      </c>
      <c r="B9" s="29">
        <f t="shared" si="1"/>
        <v>45347.65752</v>
      </c>
      <c r="C9" s="30" t="s">
        <v>21</v>
      </c>
      <c r="D9" s="47"/>
      <c r="E9" s="48" t="s">
        <v>52</v>
      </c>
      <c r="F9" s="49" t="s">
        <v>23</v>
      </c>
      <c r="G9" s="34" t="s">
        <v>53</v>
      </c>
      <c r="H9" s="35"/>
      <c r="I9" s="35"/>
      <c r="J9" s="35"/>
      <c r="K9" s="35"/>
      <c r="L9" s="35"/>
      <c r="M9" s="35"/>
      <c r="N9" s="35"/>
      <c r="O9" s="36" t="s">
        <v>54</v>
      </c>
      <c r="P9" s="36" t="s">
        <v>26</v>
      </c>
      <c r="Q9" s="36" t="s">
        <v>27</v>
      </c>
      <c r="R9" s="36" t="s">
        <v>55</v>
      </c>
      <c r="S9" s="36" t="s">
        <v>29</v>
      </c>
      <c r="T9" s="36" t="s">
        <v>43</v>
      </c>
      <c r="U9" s="37" t="s">
        <v>31</v>
      </c>
      <c r="V9" s="35"/>
      <c r="W9" s="39" t="s">
        <v>56</v>
      </c>
      <c r="X9" s="57"/>
      <c r="Z9" s="51" t="str">
        <f>IFERROR(__xludf.DUMMYFUNCTION("""COMPUTED_VALUE"""),"Photon up-conversion in Er3+ ion-doped ZnO-Al2O3-BaO-B2O3 Glass for Enhancing the Performance of Dye-Sensitized Solar Cells")</f>
        <v>Photon up-conversion in Er3+ ion-doped ZnO-Al2O3-BaO-B2O3 Glass for Enhancing the Performance of Dye-Sensitized Solar Cells</v>
      </c>
      <c r="AA9" s="51" t="str">
        <f>IFERROR(__xludf.DUMMYFUNCTION("""COMPUTED_VALUE"""),"Published")</f>
        <v>Published</v>
      </c>
      <c r="AB9" s="56"/>
      <c r="AC9" s="44" t="str">
        <f>IFERROR(__xludf.DUMMYFUNCTION("""COMPUTED_VALUE"""),"https://doi.org/10.1016/j.jallcom.2023.170163")</f>
        <v>https://doi.org/10.1016/j.jallcom.2023.170163</v>
      </c>
      <c r="AD9" s="45"/>
      <c r="AE9" s="45"/>
      <c r="AF9" s="45"/>
      <c r="AG9" s="45"/>
      <c r="AH9" s="45"/>
      <c r="AI9" s="45"/>
      <c r="AJ9" s="45"/>
      <c r="AK9" s="45"/>
      <c r="AL9" s="45"/>
      <c r="AM9" s="45"/>
    </row>
    <row r="10" ht="37.5" customHeight="1">
      <c r="A10" s="46">
        <v>5.0</v>
      </c>
      <c r="B10" s="29">
        <f t="shared" si="1"/>
        <v>45347.65752</v>
      </c>
      <c r="C10" s="30" t="s">
        <v>21</v>
      </c>
      <c r="D10" s="54"/>
      <c r="E10" s="48" t="s">
        <v>57</v>
      </c>
      <c r="F10" s="49" t="s">
        <v>58</v>
      </c>
      <c r="G10" s="34" t="s">
        <v>53</v>
      </c>
      <c r="H10" s="36"/>
      <c r="I10" s="35"/>
      <c r="J10" s="35"/>
      <c r="K10" s="35"/>
      <c r="L10" s="35"/>
      <c r="M10" s="35"/>
      <c r="N10" s="35"/>
      <c r="O10" s="36" t="s">
        <v>59</v>
      </c>
      <c r="P10" s="36" t="s">
        <v>26</v>
      </c>
      <c r="Q10" s="36" t="s">
        <v>27</v>
      </c>
      <c r="R10" s="36" t="s">
        <v>60</v>
      </c>
      <c r="S10" s="36" t="s">
        <v>29</v>
      </c>
      <c r="T10" s="36" t="s">
        <v>61</v>
      </c>
      <c r="U10" s="37" t="s">
        <v>31</v>
      </c>
      <c r="V10" s="35"/>
      <c r="W10" s="39" t="s">
        <v>62</v>
      </c>
      <c r="X10" s="57"/>
      <c r="Z10" s="51" t="str">
        <f>IFERROR(__xludf.DUMMYFUNCTION("""COMPUTED_VALUE"""),"Photoelectrochemical and Photovoltaic Performance of As-deposited Ink-based CuInS2 Heterojunction Thin Film")</f>
        <v>Photoelectrochemical and Photovoltaic Performance of As-deposited Ink-based CuInS2 Heterojunction Thin Film</v>
      </c>
      <c r="AA10" s="51" t="str">
        <f>IFERROR(__xludf.DUMMYFUNCTION("""COMPUTED_VALUE"""),"Published")</f>
        <v>Published</v>
      </c>
      <c r="AB10" s="56"/>
      <c r="AC10" s="44" t="str">
        <f>IFERROR(__xludf.DUMMYFUNCTION("""COMPUTED_VALUE"""),"https://doi.org/10.1016/j.jelechem.2023.117484")</f>
        <v>https://doi.org/10.1016/j.jelechem.2023.117484</v>
      </c>
      <c r="AD10" s="45"/>
      <c r="AE10" s="45"/>
      <c r="AF10" s="45"/>
      <c r="AG10" s="45"/>
      <c r="AH10" s="45"/>
      <c r="AI10" s="45"/>
      <c r="AJ10" s="45"/>
      <c r="AK10" s="45"/>
      <c r="AL10" s="45"/>
      <c r="AM10" s="45"/>
    </row>
    <row r="11" ht="37.5" customHeight="1">
      <c r="A11" s="46">
        <v>6.0</v>
      </c>
      <c r="B11" s="58">
        <f t="shared" si="1"/>
        <v>45370.21878</v>
      </c>
      <c r="C11" s="30" t="s">
        <v>63</v>
      </c>
      <c r="D11" s="47"/>
      <c r="E11" s="48" t="s">
        <v>64</v>
      </c>
      <c r="F11" s="49" t="s">
        <v>23</v>
      </c>
      <c r="G11" s="34" t="s">
        <v>24</v>
      </c>
      <c r="H11" s="36" t="s">
        <v>65</v>
      </c>
      <c r="I11" s="36" t="s">
        <v>66</v>
      </c>
      <c r="J11" s="36" t="s">
        <v>67</v>
      </c>
      <c r="K11" s="36" t="s">
        <v>68</v>
      </c>
      <c r="L11" s="36" t="s">
        <v>69</v>
      </c>
      <c r="M11" s="36" t="s">
        <v>70</v>
      </c>
      <c r="N11" s="35"/>
      <c r="O11" s="36" t="s">
        <v>71</v>
      </c>
      <c r="P11" s="36" t="s">
        <v>26</v>
      </c>
      <c r="Q11" s="36" t="s">
        <v>27</v>
      </c>
      <c r="R11" s="36" t="s">
        <v>72</v>
      </c>
      <c r="S11" s="36" t="s">
        <v>29</v>
      </c>
      <c r="T11" s="36" t="s">
        <v>30</v>
      </c>
      <c r="U11" s="37" t="s">
        <v>31</v>
      </c>
      <c r="V11" s="59" t="s">
        <v>73</v>
      </c>
      <c r="W11" s="60" t="s">
        <v>74</v>
      </c>
      <c r="X11" s="57"/>
      <c r="Z11" s="51" t="str">
        <f>IFERROR(__xludf.DUMMYFUNCTION("""COMPUTED_VALUE"""),"Study of polycrystalline silicon solar cell structure by XRD and SEM characterization")</f>
        <v>Study of polycrystalline silicon solar cell structure by XRD and SEM characterization</v>
      </c>
      <c r="AA11" s="51" t="str">
        <f>IFERROR(__xludf.DUMMYFUNCTION("""COMPUTED_VALUE"""),"Published")</f>
        <v>Published</v>
      </c>
      <c r="AB11" s="56"/>
      <c r="AC11" s="44" t="str">
        <f>IFERROR(__xludf.DUMMYFUNCTION("""COMPUTED_VALUE"""),"https://doi.org/10.1063/5.0123081")</f>
        <v>https://doi.org/10.1063/5.0123081</v>
      </c>
      <c r="AD11" s="45"/>
      <c r="AE11" s="45"/>
      <c r="AF11" s="45"/>
      <c r="AG11" s="45"/>
      <c r="AH11" s="45"/>
      <c r="AI11" s="45"/>
      <c r="AJ11" s="45"/>
      <c r="AK11" s="45"/>
      <c r="AL11" s="45"/>
      <c r="AM11" s="45"/>
    </row>
    <row r="12" ht="37.5" customHeight="1">
      <c r="A12" s="46">
        <v>7.0</v>
      </c>
      <c r="B12" s="58">
        <f t="shared" si="1"/>
        <v>45381.42266</v>
      </c>
      <c r="C12" s="30" t="s">
        <v>63</v>
      </c>
      <c r="D12" s="61"/>
      <c r="E12" s="48" t="s">
        <v>75</v>
      </c>
      <c r="F12" s="49" t="s">
        <v>23</v>
      </c>
      <c r="G12" s="34" t="s">
        <v>76</v>
      </c>
      <c r="H12" s="35"/>
      <c r="I12" s="35"/>
      <c r="J12" s="35"/>
      <c r="K12" s="35"/>
      <c r="L12" s="35"/>
      <c r="M12" s="35"/>
      <c r="N12" s="35"/>
      <c r="O12" s="36" t="s">
        <v>77</v>
      </c>
      <c r="P12" s="36" t="s">
        <v>26</v>
      </c>
      <c r="Q12" s="36" t="s">
        <v>27</v>
      </c>
      <c r="R12" s="36" t="s">
        <v>78</v>
      </c>
      <c r="S12" s="36" t="s">
        <v>29</v>
      </c>
      <c r="T12" s="36" t="s">
        <v>61</v>
      </c>
      <c r="U12" s="37" t="s">
        <v>31</v>
      </c>
      <c r="V12" s="35"/>
      <c r="W12" s="39" t="s">
        <v>79</v>
      </c>
      <c r="X12" s="57"/>
      <c r="Z12" s="51" t="str">
        <f>IFERROR(__xludf.DUMMYFUNCTION("""COMPUTED_VALUE"""),"Mechanical ventilation intervention based on machine learning from vital signs monitoring: a scoping review")</f>
        <v>Mechanical ventilation intervention based on machine learning from vital signs monitoring: a scoping review</v>
      </c>
      <c r="AA12" s="51" t="str">
        <f>IFERROR(__xludf.DUMMYFUNCTION("""COMPUTED_VALUE"""),"Published")</f>
        <v>Published</v>
      </c>
      <c r="AB12" s="56"/>
      <c r="AC12" s="45" t="str">
        <f>IFERROR(__xludf.DUMMYFUNCTION("""COMPUTED_VALUE"""),"10.1088/1361-6501/acc11e")</f>
        <v>10.1088/1361-6501/acc11e</v>
      </c>
      <c r="AD12" s="45"/>
      <c r="AE12" s="45"/>
      <c r="AF12" s="45"/>
      <c r="AG12" s="45"/>
      <c r="AH12" s="45"/>
      <c r="AI12" s="45"/>
      <c r="AJ12" s="45"/>
      <c r="AK12" s="45"/>
      <c r="AL12" s="45"/>
      <c r="AM12" s="45"/>
    </row>
    <row r="13" ht="37.5" customHeight="1">
      <c r="A13" s="46">
        <v>8.0</v>
      </c>
      <c r="B13" s="58">
        <f t="shared" si="1"/>
        <v>45381.43604</v>
      </c>
      <c r="C13" s="30" t="s">
        <v>63</v>
      </c>
      <c r="D13" s="47"/>
      <c r="E13" s="48" t="s">
        <v>80</v>
      </c>
      <c r="F13" s="49" t="s">
        <v>46</v>
      </c>
      <c r="G13" s="62" t="s">
        <v>81</v>
      </c>
      <c r="H13" s="35"/>
      <c r="I13" s="35"/>
      <c r="J13" s="35"/>
      <c r="K13" s="35"/>
      <c r="L13" s="35"/>
      <c r="M13" s="35"/>
      <c r="N13" s="35"/>
      <c r="O13" s="36" t="s">
        <v>82</v>
      </c>
      <c r="P13" s="36" t="s">
        <v>83</v>
      </c>
      <c r="Q13" s="36" t="s">
        <v>27</v>
      </c>
      <c r="R13" s="36" t="s">
        <v>84</v>
      </c>
      <c r="S13" s="36" t="s">
        <v>29</v>
      </c>
      <c r="T13" s="36" t="s">
        <v>85</v>
      </c>
      <c r="U13" s="37" t="s">
        <v>31</v>
      </c>
      <c r="V13" s="35"/>
      <c r="W13" s="39" t="s">
        <v>86</v>
      </c>
      <c r="X13" s="57"/>
      <c r="Z13" s="51" t="str">
        <f>IFERROR(__xludf.DUMMYFUNCTION("""COMPUTED_VALUE"""),"The effect of size control of Gold Nanoparticles Stabilized with
 α-cyclodextrin and β-cyclodextrin and their antibacterial activities")</f>
        <v>The effect of size control of Gold Nanoparticles Stabilized with
 α-cyclodextrin and β-cyclodextrin and their antibacterial activities</v>
      </c>
      <c r="AA13" s="51" t="str">
        <f>IFERROR(__xludf.DUMMYFUNCTION("""COMPUTED_VALUE"""),"Published")</f>
        <v>Published</v>
      </c>
      <c r="AB13" s="56"/>
      <c r="AC13" s="44" t="str">
        <f>IFERROR(__xludf.DUMMYFUNCTION("""COMPUTED_VALUE"""),"https://doi.org/10.1016/j.matchemphys.2023.127762")</f>
        <v>https://doi.org/10.1016/j.matchemphys.2023.127762</v>
      </c>
      <c r="AD13" s="45"/>
      <c r="AE13" s="45"/>
      <c r="AF13" s="45"/>
      <c r="AG13" s="45"/>
      <c r="AH13" s="45"/>
      <c r="AI13" s="45"/>
      <c r="AJ13" s="45"/>
      <c r="AK13" s="45"/>
      <c r="AL13" s="45"/>
      <c r="AM13" s="45"/>
    </row>
    <row r="14" ht="37.5" customHeight="1">
      <c r="A14" s="46">
        <v>9.0</v>
      </c>
      <c r="B14" s="58">
        <f t="shared" si="1"/>
        <v>45381.4465</v>
      </c>
      <c r="C14" s="30" t="s">
        <v>63</v>
      </c>
      <c r="D14" s="47"/>
      <c r="E14" s="48" t="s">
        <v>87</v>
      </c>
      <c r="F14" s="49" t="s">
        <v>58</v>
      </c>
      <c r="G14" s="34" t="s">
        <v>88</v>
      </c>
      <c r="H14" s="35"/>
      <c r="I14" s="35"/>
      <c r="J14" s="35"/>
      <c r="K14" s="35"/>
      <c r="L14" s="35"/>
      <c r="M14" s="35"/>
      <c r="N14" s="35"/>
      <c r="O14" s="36" t="s">
        <v>89</v>
      </c>
      <c r="P14" s="36" t="s">
        <v>26</v>
      </c>
      <c r="Q14" s="36" t="s">
        <v>27</v>
      </c>
      <c r="R14" s="36" t="s">
        <v>90</v>
      </c>
      <c r="S14" s="36" t="s">
        <v>29</v>
      </c>
      <c r="T14" s="36" t="s">
        <v>43</v>
      </c>
      <c r="U14" s="37" t="s">
        <v>31</v>
      </c>
      <c r="V14" s="38"/>
      <c r="W14" s="39" t="s">
        <v>91</v>
      </c>
      <c r="X14" s="57"/>
      <c r="Z14" s="51" t="str">
        <f>IFERROR(__xludf.DUMMYFUNCTION("""COMPUTED_VALUE"""),"Design and Fabrication of PVA-SnO2-Based Humidity Sensors")</f>
        <v>Design and Fabrication of PVA-SnO2-Based Humidity Sensors</v>
      </c>
      <c r="AA14" s="51" t="str">
        <f>IFERROR(__xludf.DUMMYFUNCTION("""COMPUTED_VALUE"""),"Published")</f>
        <v>Published</v>
      </c>
      <c r="AB14" s="56"/>
      <c r="AC14" s="44" t="str">
        <f>IFERROR(__xludf.DUMMYFUNCTION("""COMPUTED_VALUE"""),"https://doi.org/10.11113/elektrika.v22n1.419")</f>
        <v>https://doi.org/10.11113/elektrika.v22n1.419</v>
      </c>
      <c r="AD14" s="45"/>
      <c r="AE14" s="45"/>
      <c r="AF14" s="45"/>
      <c r="AG14" s="45"/>
      <c r="AH14" s="45"/>
      <c r="AI14" s="45"/>
      <c r="AJ14" s="45"/>
      <c r="AK14" s="45"/>
      <c r="AL14" s="45"/>
      <c r="AM14" s="45"/>
    </row>
    <row r="15" ht="37.5" customHeight="1">
      <c r="A15" s="46">
        <v>10.0</v>
      </c>
      <c r="B15" s="58">
        <f t="shared" si="1"/>
        <v>45382.57155</v>
      </c>
      <c r="C15" s="30" t="s">
        <v>63</v>
      </c>
      <c r="D15" s="47"/>
      <c r="E15" s="48" t="s">
        <v>92</v>
      </c>
      <c r="F15" s="49" t="s">
        <v>58</v>
      </c>
      <c r="G15" s="34" t="s">
        <v>53</v>
      </c>
      <c r="H15" s="35"/>
      <c r="I15" s="35"/>
      <c r="J15" s="35"/>
      <c r="K15" s="35"/>
      <c r="L15" s="35"/>
      <c r="M15" s="35"/>
      <c r="N15" s="35"/>
      <c r="O15" s="36" t="s">
        <v>93</v>
      </c>
      <c r="P15" s="36" t="s">
        <v>26</v>
      </c>
      <c r="Q15" s="36" t="s">
        <v>27</v>
      </c>
      <c r="R15" s="36" t="s">
        <v>55</v>
      </c>
      <c r="S15" s="36" t="s">
        <v>29</v>
      </c>
      <c r="T15" s="36" t="s">
        <v>43</v>
      </c>
      <c r="U15" s="37" t="s">
        <v>31</v>
      </c>
      <c r="V15" s="35"/>
      <c r="W15" s="39" t="s">
        <v>94</v>
      </c>
      <c r="X15" s="57"/>
      <c r="Z15" s="51" t="str">
        <f>IFERROR(__xludf.DUMMYFUNCTION("""COMPUTED_VALUE"""),"Sodium Concentration Imaging in Dermis Layer by Square-wave Open Electrical Impedance Tomography (SW-oEIT) with Spatial Voltage Thresholding (SVT)")</f>
        <v>Sodium Concentration Imaging in Dermis Layer by Square-wave Open Electrical Impedance Tomography (SW-oEIT) with Spatial Voltage Thresholding (SVT)</v>
      </c>
      <c r="AA15" s="51" t="str">
        <f>IFERROR(__xludf.DUMMYFUNCTION("""COMPUTED_VALUE"""),"Published")</f>
        <v>Published</v>
      </c>
      <c r="AB15" s="56"/>
      <c r="AC15" s="44" t="str">
        <f>IFERROR(__xludf.DUMMYFUNCTION("""COMPUTED_VALUE"""),"https://doi.org/10.1088/2057-1976/acd4c6")</f>
        <v>https://doi.org/10.1088/2057-1976/acd4c6</v>
      </c>
      <c r="AD15" s="45"/>
      <c r="AE15" s="45"/>
      <c r="AF15" s="45"/>
      <c r="AG15" s="45"/>
      <c r="AH15" s="45"/>
      <c r="AI15" s="45"/>
      <c r="AJ15" s="45"/>
      <c r="AK15" s="45"/>
      <c r="AL15" s="45"/>
      <c r="AM15" s="45"/>
    </row>
    <row r="16" ht="37.5" customHeight="1">
      <c r="A16" s="46">
        <v>11.0</v>
      </c>
      <c r="B16" s="58">
        <f t="shared" si="1"/>
        <v>45383.33802</v>
      </c>
      <c r="C16" s="30" t="s">
        <v>63</v>
      </c>
      <c r="D16" s="47"/>
      <c r="E16" s="48" t="s">
        <v>95</v>
      </c>
      <c r="F16" s="49" t="s">
        <v>58</v>
      </c>
      <c r="G16" s="34" t="s">
        <v>53</v>
      </c>
      <c r="H16" s="35"/>
      <c r="I16" s="35"/>
      <c r="J16" s="35"/>
      <c r="K16" s="35"/>
      <c r="L16" s="35"/>
      <c r="M16" s="35"/>
      <c r="N16" s="35"/>
      <c r="O16" s="36" t="s">
        <v>96</v>
      </c>
      <c r="P16" s="36" t="s">
        <v>26</v>
      </c>
      <c r="Q16" s="36" t="s">
        <v>27</v>
      </c>
      <c r="R16" s="36" t="s">
        <v>97</v>
      </c>
      <c r="S16" s="36" t="s">
        <v>29</v>
      </c>
      <c r="T16" s="36" t="s">
        <v>30</v>
      </c>
      <c r="U16" s="37" t="s">
        <v>31</v>
      </c>
      <c r="V16" s="63" t="s">
        <v>98</v>
      </c>
      <c r="W16" s="64"/>
      <c r="X16" s="57"/>
      <c r="Z16" s="51" t="str">
        <f>IFERROR(__xludf.DUMMYFUNCTION("""COMPUTED_VALUE"""),"Quantification of dermis sodium concentration in skin layers by power spectral density drop of square-wave electrical impedance spectroscopy (PSDd-sEIS)")</f>
        <v>Quantification of dermis sodium concentration in skin layers by power spectral density drop of square-wave electrical impedance spectroscopy (PSDd-sEIS)</v>
      </c>
      <c r="AA16" s="51" t="str">
        <f>IFERROR(__xludf.DUMMYFUNCTION("""COMPUTED_VALUE"""),"Published")</f>
        <v>Published</v>
      </c>
      <c r="AB16" s="51"/>
      <c r="AC16" s="52" t="str">
        <f>IFERROR(__xludf.DUMMYFUNCTION("""COMPUTED_VALUE"""),"https://doi.org/10.1088/1361-6501/acc752")</f>
        <v>https://doi.org/10.1088/1361-6501/acc752</v>
      </c>
      <c r="AD16" s="53"/>
      <c r="AE16" s="53"/>
      <c r="AF16" s="53"/>
      <c r="AG16" s="53"/>
      <c r="AH16" s="53"/>
      <c r="AI16" s="53"/>
      <c r="AJ16" s="53"/>
      <c r="AK16" s="53"/>
      <c r="AL16" s="53"/>
      <c r="AM16" s="53"/>
    </row>
    <row r="17" ht="37.5" customHeight="1">
      <c r="A17" s="46">
        <v>12.0</v>
      </c>
      <c r="B17" s="58">
        <f t="shared" si="1"/>
        <v>45383.34385</v>
      </c>
      <c r="C17" s="30" t="s">
        <v>63</v>
      </c>
      <c r="D17" s="47"/>
      <c r="E17" s="48" t="s">
        <v>99</v>
      </c>
      <c r="F17" s="49" t="s">
        <v>58</v>
      </c>
      <c r="G17" s="34" t="s">
        <v>53</v>
      </c>
      <c r="H17" s="35"/>
      <c r="I17" s="35"/>
      <c r="J17" s="35"/>
      <c r="K17" s="35"/>
      <c r="L17" s="35"/>
      <c r="M17" s="35"/>
      <c r="N17" s="35"/>
      <c r="O17" s="36" t="s">
        <v>100</v>
      </c>
      <c r="P17" s="36" t="s">
        <v>26</v>
      </c>
      <c r="Q17" s="36" t="s">
        <v>27</v>
      </c>
      <c r="R17" s="36" t="s">
        <v>101</v>
      </c>
      <c r="S17" s="36" t="s">
        <v>29</v>
      </c>
      <c r="T17" s="36" t="s">
        <v>43</v>
      </c>
      <c r="U17" s="37" t="s">
        <v>31</v>
      </c>
      <c r="V17" s="35"/>
      <c r="W17" s="39" t="s">
        <v>102</v>
      </c>
      <c r="X17" s="57"/>
      <c r="Z17" s="51" t="str">
        <f>IFERROR(__xludf.DUMMYFUNCTION("""COMPUTED_VALUE"""),"Preliminary Study of Modified Fluorescent Silica Nanoparticles for the Detection of IgY Antibody")</f>
        <v>Preliminary Study of Modified Fluorescent Silica Nanoparticles for the Detection of IgY Antibody</v>
      </c>
      <c r="AA17" s="42" t="str">
        <f>IFERROR(__xludf.DUMMYFUNCTION("""COMPUTED_VALUE"""),"Published")</f>
        <v>Published</v>
      </c>
      <c r="AB17" s="51"/>
      <c r="AC17" s="52" t="str">
        <f>IFERROR(__xludf.DUMMYFUNCTION("""COMPUTED_VALUE"""),"https://doi.org/10.4028/p-axmy8o")</f>
        <v>https://doi.org/10.4028/p-axmy8o</v>
      </c>
      <c r="AD17" s="53"/>
      <c r="AE17" s="53"/>
      <c r="AF17" s="53"/>
      <c r="AG17" s="53"/>
      <c r="AH17" s="53"/>
      <c r="AI17" s="53"/>
      <c r="AJ17" s="53"/>
      <c r="AK17" s="53"/>
      <c r="AL17" s="53"/>
      <c r="AM17" s="53"/>
    </row>
    <row r="18" ht="37.5" customHeight="1">
      <c r="A18" s="46">
        <v>13.0</v>
      </c>
      <c r="B18" s="58">
        <f t="shared" si="1"/>
        <v>45383.35696</v>
      </c>
      <c r="C18" s="30" t="s">
        <v>63</v>
      </c>
      <c r="D18" s="47"/>
      <c r="E18" s="48" t="s">
        <v>103</v>
      </c>
      <c r="F18" s="49" t="s">
        <v>46</v>
      </c>
      <c r="G18" s="34" t="s">
        <v>47</v>
      </c>
      <c r="H18" s="36"/>
      <c r="I18" s="35"/>
      <c r="J18" s="35"/>
      <c r="K18" s="35"/>
      <c r="L18" s="35"/>
      <c r="M18" s="35"/>
      <c r="N18" s="35"/>
      <c r="O18" s="36" t="s">
        <v>104</v>
      </c>
      <c r="P18" s="36" t="s">
        <v>26</v>
      </c>
      <c r="Q18" s="36" t="s">
        <v>27</v>
      </c>
      <c r="R18" s="36" t="s">
        <v>105</v>
      </c>
      <c r="S18" s="36" t="s">
        <v>29</v>
      </c>
      <c r="T18" s="36" t="s">
        <v>30</v>
      </c>
      <c r="U18" s="37" t="s">
        <v>31</v>
      </c>
      <c r="V18" s="38"/>
      <c r="W18" s="65" t="s">
        <v>106</v>
      </c>
      <c r="X18" s="50"/>
      <c r="Z18" s="51" t="str">
        <f>IFERROR(__xludf.DUMMYFUNCTION("""COMPUTED_VALUE"""),"Ensuring Compliance and Reliability in EV Charging Station Management Systems: A Novel Testing Tool for OCPP 1.6 Messages Conformance")</f>
        <v>Ensuring Compliance and Reliability in EV Charging Station Management Systems: A Novel Testing Tool for OCPP 1.6 Messages Conformance</v>
      </c>
      <c r="AA18" s="51" t="str">
        <f>IFERROR(__xludf.DUMMYFUNCTION("""COMPUTED_VALUE"""),"Published")</f>
        <v>Published</v>
      </c>
      <c r="AB18" s="56"/>
      <c r="AC18" s="44" t="str">
        <f>IFERROR(__xludf.DUMMYFUNCTION("""COMPUTED_VALUE"""),"https://doi.org/10.18280/jesa.560116")</f>
        <v>https://doi.org/10.18280/jesa.560116</v>
      </c>
      <c r="AD18" s="45"/>
      <c r="AE18" s="45"/>
      <c r="AF18" s="45"/>
      <c r="AG18" s="45"/>
      <c r="AH18" s="45"/>
      <c r="AI18" s="45"/>
      <c r="AJ18" s="45"/>
      <c r="AK18" s="45"/>
      <c r="AL18" s="45"/>
      <c r="AM18" s="45"/>
    </row>
    <row r="19" ht="37.5" customHeight="1">
      <c r="A19" s="46">
        <v>14.0</v>
      </c>
      <c r="B19" s="58">
        <f t="shared" si="1"/>
        <v>45383.36256</v>
      </c>
      <c r="C19" s="30" t="s">
        <v>63</v>
      </c>
      <c r="D19" s="47"/>
      <c r="E19" s="48" t="s">
        <v>107</v>
      </c>
      <c r="F19" s="49" t="s">
        <v>108</v>
      </c>
      <c r="G19" s="34" t="s">
        <v>109</v>
      </c>
      <c r="H19" s="35"/>
      <c r="I19" s="35"/>
      <c r="J19" s="35"/>
      <c r="K19" s="35"/>
      <c r="L19" s="35"/>
      <c r="M19" s="35"/>
      <c r="N19" s="35"/>
      <c r="O19" s="36" t="s">
        <v>110</v>
      </c>
      <c r="P19" s="36" t="s">
        <v>26</v>
      </c>
      <c r="Q19" s="36" t="s">
        <v>27</v>
      </c>
      <c r="R19" s="36" t="s">
        <v>111</v>
      </c>
      <c r="S19" s="36" t="s">
        <v>29</v>
      </c>
      <c r="T19" s="36" t="s">
        <v>43</v>
      </c>
      <c r="U19" s="37" t="s">
        <v>31</v>
      </c>
      <c r="V19" s="35"/>
      <c r="W19" s="39" t="s">
        <v>112</v>
      </c>
      <c r="X19" s="57"/>
      <c r="Z19" s="51" t="str">
        <f>IFERROR(__xludf.DUMMYFUNCTION("""COMPUTED_VALUE"""),"The Design of 1/10 Scale Model for Autonomous Electric Vehicle Dynamic Testing")</f>
        <v>The Design of 1/10 Scale Model for Autonomous Electric Vehicle Dynamic Testing</v>
      </c>
      <c r="AA19" s="51" t="str">
        <f>IFERROR(__xludf.DUMMYFUNCTION("""COMPUTED_VALUE"""),"Published")</f>
        <v>Published</v>
      </c>
      <c r="AB19" s="56"/>
      <c r="AC19" s="44" t="str">
        <f>IFERROR(__xludf.DUMMYFUNCTION("""COMPUTED_VALUE"""),"https://doi.org/10.1145/3575882.3575898")</f>
        <v>https://doi.org/10.1145/3575882.3575898</v>
      </c>
      <c r="AD19" s="45"/>
      <c r="AE19" s="45"/>
      <c r="AF19" s="45"/>
      <c r="AG19" s="45"/>
      <c r="AH19" s="45"/>
      <c r="AI19" s="45"/>
      <c r="AJ19" s="45"/>
      <c r="AK19" s="45"/>
      <c r="AL19" s="45"/>
      <c r="AM19" s="45"/>
    </row>
    <row r="20" ht="37.5" customHeight="1">
      <c r="A20" s="46">
        <v>15.0</v>
      </c>
      <c r="B20" s="58">
        <f t="shared" si="1"/>
        <v>45383.36279</v>
      </c>
      <c r="C20" s="30"/>
      <c r="D20" s="47"/>
      <c r="E20" s="66" t="s">
        <v>113</v>
      </c>
      <c r="F20" s="49" t="s">
        <v>108</v>
      </c>
      <c r="G20" s="34" t="s">
        <v>109</v>
      </c>
      <c r="H20" s="35"/>
      <c r="I20" s="35"/>
      <c r="J20" s="35"/>
      <c r="K20" s="35"/>
      <c r="L20" s="35"/>
      <c r="M20" s="35"/>
      <c r="N20" s="35"/>
      <c r="O20" s="36" t="s">
        <v>114</v>
      </c>
      <c r="P20" s="36" t="s">
        <v>26</v>
      </c>
      <c r="Q20" s="36" t="s">
        <v>27</v>
      </c>
      <c r="R20" s="36" t="s">
        <v>115</v>
      </c>
      <c r="S20" s="36" t="s">
        <v>29</v>
      </c>
      <c r="T20" s="36" t="s">
        <v>61</v>
      </c>
      <c r="U20" s="37" t="s">
        <v>31</v>
      </c>
      <c r="V20" s="35"/>
      <c r="W20" s="39" t="s">
        <v>116</v>
      </c>
      <c r="X20" s="55" t="s">
        <v>117</v>
      </c>
      <c r="Z20" s="51" t="str">
        <f>IFERROR(__xludf.DUMMYFUNCTION("""COMPUTED_VALUE"""),"CNN Model with Parameter Optimisation for Fine-Grained Banana Ripening Stage Classification")</f>
        <v>CNN Model with Parameter Optimisation for Fine-Grained Banana Ripening Stage Classification</v>
      </c>
      <c r="AA20" s="51" t="str">
        <f>IFERROR(__xludf.DUMMYFUNCTION("""COMPUTED_VALUE"""),"Published")</f>
        <v>Published</v>
      </c>
      <c r="AB20" s="56"/>
      <c r="AC20" s="44" t="str">
        <f>IFERROR(__xludf.DUMMYFUNCTION("""COMPUTED_VALUE"""),"https://doi.org/10.1145/3575882.3575900")</f>
        <v>https://doi.org/10.1145/3575882.3575900</v>
      </c>
      <c r="AD20" s="45"/>
      <c r="AE20" s="45"/>
      <c r="AF20" s="45"/>
      <c r="AG20" s="45"/>
      <c r="AH20" s="45"/>
      <c r="AI20" s="45"/>
      <c r="AJ20" s="45"/>
      <c r="AK20" s="45"/>
      <c r="AL20" s="45"/>
      <c r="AM20" s="45"/>
    </row>
    <row r="21" ht="37.5" customHeight="1">
      <c r="A21" s="46">
        <v>16.0</v>
      </c>
      <c r="B21" s="58">
        <f t="shared" si="1"/>
        <v>45406.42254</v>
      </c>
      <c r="C21" s="30"/>
      <c r="D21" s="47"/>
      <c r="E21" s="48" t="s">
        <v>118</v>
      </c>
      <c r="F21" s="49" t="s">
        <v>108</v>
      </c>
      <c r="G21" s="34" t="s">
        <v>119</v>
      </c>
      <c r="H21" s="67" t="s">
        <v>120</v>
      </c>
      <c r="I21" s="36" t="s">
        <v>121</v>
      </c>
      <c r="J21" s="36" t="s">
        <v>122</v>
      </c>
      <c r="K21" s="36" t="s">
        <v>123</v>
      </c>
      <c r="L21" s="36" t="s">
        <v>124</v>
      </c>
      <c r="M21" s="36" t="s">
        <v>125</v>
      </c>
      <c r="N21" s="36" t="s">
        <v>126</v>
      </c>
      <c r="O21" s="35"/>
      <c r="P21" s="36" t="s">
        <v>26</v>
      </c>
      <c r="Q21" s="36" t="s">
        <v>127</v>
      </c>
      <c r="R21" s="68" t="s">
        <v>128</v>
      </c>
      <c r="S21" s="36" t="s">
        <v>29</v>
      </c>
      <c r="T21" s="36" t="s">
        <v>43</v>
      </c>
      <c r="U21" s="37" t="s">
        <v>31</v>
      </c>
      <c r="V21" s="38"/>
      <c r="W21" s="69"/>
      <c r="X21" s="70" t="s">
        <v>129</v>
      </c>
      <c r="Z21" s="51" t="str">
        <f>IFERROR(__xludf.DUMMYFUNCTION("""COMPUTED_VALUE"""),"Fabrication Of A Polyvinyl Alcohol-Bentonite Composite Coated On A Carbon Felt Anode For Improving Yeast Microbial Fuel Cell Performance")</f>
        <v>Fabrication Of A Polyvinyl Alcohol-Bentonite Composite Coated On A Carbon Felt Anode For Improving Yeast Microbial Fuel Cell Performance</v>
      </c>
      <c r="AA21" s="51" t="str">
        <f>IFERROR(__xludf.DUMMYFUNCTION("""COMPUTED_VALUE"""),"Published")</f>
        <v>Published</v>
      </c>
      <c r="AB21" s="56"/>
      <c r="AC21" s="44" t="str">
        <f>IFERROR(__xludf.DUMMYFUNCTION("""COMPUTED_VALUE"""),"https://doi.org/10.1016/j.jpowsour.2022.232366")</f>
        <v>https://doi.org/10.1016/j.jpowsour.2022.232366</v>
      </c>
      <c r="AD21" s="45"/>
      <c r="AE21" s="45"/>
      <c r="AF21" s="45"/>
      <c r="AG21" s="45"/>
      <c r="AH21" s="45"/>
      <c r="AI21" s="45"/>
      <c r="AJ21" s="45"/>
      <c r="AK21" s="45"/>
      <c r="AL21" s="45"/>
      <c r="AM21" s="45"/>
    </row>
    <row r="22" ht="37.5" customHeight="1">
      <c r="A22" s="46">
        <v>17.0</v>
      </c>
      <c r="B22" s="58">
        <f t="shared" si="1"/>
        <v>45406.45317</v>
      </c>
      <c r="C22" s="30" t="s">
        <v>130</v>
      </c>
      <c r="D22" s="47"/>
      <c r="E22" s="48" t="s">
        <v>131</v>
      </c>
      <c r="F22" s="49" t="s">
        <v>46</v>
      </c>
      <c r="G22" s="34" t="s">
        <v>132</v>
      </c>
      <c r="H22" s="35"/>
      <c r="I22" s="35"/>
      <c r="J22" s="35"/>
      <c r="K22" s="35"/>
      <c r="L22" s="35"/>
      <c r="M22" s="35"/>
      <c r="N22" s="35"/>
      <c r="O22" s="35"/>
      <c r="P22" s="36" t="s">
        <v>83</v>
      </c>
      <c r="Q22" s="36" t="s">
        <v>27</v>
      </c>
      <c r="R22" s="36" t="s">
        <v>133</v>
      </c>
      <c r="S22" s="36" t="s">
        <v>29</v>
      </c>
      <c r="T22" s="36" t="s">
        <v>85</v>
      </c>
      <c r="U22" s="37" t="s">
        <v>31</v>
      </c>
      <c r="V22" s="59" t="s">
        <v>134</v>
      </c>
      <c r="W22" s="39" t="s">
        <v>135</v>
      </c>
      <c r="X22" s="57"/>
      <c r="Z22" s="51" t="str">
        <f>IFERROR(__xludf.DUMMYFUNCTION("""COMPUTED_VALUE"""),"Fabrication and characterization of (Mg0.8Zn0.2)(Ti0.99Sn0.01)O3 ceramics as a 4.0 GHz resonator in dielectric resonator oscillator module")</f>
        <v>Fabrication and characterization of (Mg0.8Zn0.2)(Ti0.99Sn0.01)O3 ceramics as a 4.0 GHz resonator in dielectric resonator oscillator module</v>
      </c>
      <c r="AA22" s="42" t="str">
        <f>IFERROR(__xludf.DUMMYFUNCTION("""COMPUTED_VALUE"""),"Published")</f>
        <v>Published</v>
      </c>
      <c r="AB22" s="56"/>
      <c r="AC22" s="44" t="str">
        <f>IFERROR(__xludf.DUMMYFUNCTION("""COMPUTED_VALUE"""),"https://link.springer.com/article/10.1007/s10854-023-10890-0")</f>
        <v>https://link.springer.com/article/10.1007/s10854-023-10890-0</v>
      </c>
      <c r="AD22" s="45"/>
      <c r="AE22" s="45"/>
      <c r="AF22" s="45"/>
      <c r="AG22" s="45"/>
      <c r="AH22" s="45"/>
      <c r="AI22" s="45"/>
      <c r="AJ22" s="45"/>
      <c r="AK22" s="45"/>
      <c r="AL22" s="45"/>
      <c r="AM22" s="45"/>
    </row>
    <row r="23" ht="37.5" customHeight="1">
      <c r="A23" s="46">
        <v>18.0</v>
      </c>
      <c r="B23" s="58">
        <f t="shared" si="1"/>
        <v>45406.45796</v>
      </c>
      <c r="C23" s="30" t="s">
        <v>130</v>
      </c>
      <c r="D23" s="47"/>
      <c r="E23" s="48" t="s">
        <v>136</v>
      </c>
      <c r="F23" s="49" t="s">
        <v>46</v>
      </c>
      <c r="G23" s="34" t="s">
        <v>137</v>
      </c>
      <c r="H23" s="35"/>
      <c r="I23" s="35"/>
      <c r="J23" s="35"/>
      <c r="K23" s="35"/>
      <c r="L23" s="35"/>
      <c r="M23" s="35"/>
      <c r="N23" s="35"/>
      <c r="O23" s="36" t="s">
        <v>138</v>
      </c>
      <c r="P23" s="36" t="s">
        <v>26</v>
      </c>
      <c r="Q23" s="36" t="s">
        <v>27</v>
      </c>
      <c r="R23" s="36" t="s">
        <v>139</v>
      </c>
      <c r="S23" s="36" t="s">
        <v>29</v>
      </c>
      <c r="T23" s="36" t="s">
        <v>85</v>
      </c>
      <c r="U23" s="37" t="s">
        <v>31</v>
      </c>
      <c r="V23" s="59" t="s">
        <v>140</v>
      </c>
      <c r="W23" s="60" t="s">
        <v>141</v>
      </c>
      <c r="X23" s="50"/>
      <c r="Z23" s="51" t="str">
        <f>IFERROR(__xludf.DUMMYFUNCTION("""COMPUTED_VALUE"""),"Introduction to Indonesian Cable-based Subsea Tsunameter")</f>
        <v>Introduction to Indonesian Cable-based Subsea Tsunameter</v>
      </c>
      <c r="AA23" s="51" t="str">
        <f>IFERROR(__xludf.DUMMYFUNCTION("""COMPUTED_VALUE"""),"Published")</f>
        <v>Published</v>
      </c>
      <c r="AB23" s="56"/>
      <c r="AC23" s="44" t="str">
        <f>IFERROR(__xludf.DUMMYFUNCTION("""COMPUTED_VALUE"""),"https://doi.org/10.1109/UT49729.2023.10103368")</f>
        <v>https://doi.org/10.1109/UT49729.2023.10103368</v>
      </c>
      <c r="AD23" s="45"/>
      <c r="AE23" s="45"/>
      <c r="AF23" s="45"/>
      <c r="AG23" s="45"/>
      <c r="AH23" s="45"/>
      <c r="AI23" s="45"/>
      <c r="AJ23" s="45"/>
      <c r="AK23" s="45"/>
      <c r="AL23" s="45"/>
      <c r="AM23" s="45"/>
    </row>
    <row r="24" ht="37.5" customHeight="1">
      <c r="A24" s="46">
        <v>19.0</v>
      </c>
      <c r="B24" s="58">
        <f t="shared" si="1"/>
        <v>45406.47775</v>
      </c>
      <c r="C24" s="30" t="s">
        <v>130</v>
      </c>
      <c r="D24" s="47"/>
      <c r="E24" s="34" t="s">
        <v>142</v>
      </c>
      <c r="F24" s="34" t="s">
        <v>58</v>
      </c>
      <c r="G24" s="34" t="s">
        <v>88</v>
      </c>
      <c r="H24" s="35"/>
      <c r="I24" s="35"/>
      <c r="J24" s="35"/>
      <c r="K24" s="35"/>
      <c r="L24" s="35"/>
      <c r="M24" s="35"/>
      <c r="N24" s="35"/>
      <c r="O24" s="36" t="s">
        <v>143</v>
      </c>
      <c r="P24" s="36" t="s">
        <v>83</v>
      </c>
      <c r="Q24" s="36" t="s">
        <v>27</v>
      </c>
      <c r="R24" s="68" t="s">
        <v>144</v>
      </c>
      <c r="S24" s="36" t="s">
        <v>29</v>
      </c>
      <c r="T24" s="35"/>
      <c r="U24" s="37" t="s">
        <v>31</v>
      </c>
      <c r="V24" s="59" t="s">
        <v>145</v>
      </c>
      <c r="W24" s="39" t="s">
        <v>146</v>
      </c>
      <c r="X24" s="57"/>
      <c r="Z24" s="71" t="str">
        <f>IFERROR(__xludf.DUMMYFUNCTION("""COMPUTED_VALUE"""),"Nonlinear Injection Control of isolated DC-DC Converter for Cable-based Seabed Observatory Platform")</f>
        <v>Nonlinear Injection Control of isolated DC-DC Converter for Cable-based Seabed Observatory Platform</v>
      </c>
      <c r="AA24" s="51" t="str">
        <f>IFERROR(__xludf.DUMMYFUNCTION("""COMPUTED_VALUE"""),"Published")</f>
        <v>Published</v>
      </c>
      <c r="AB24" s="56"/>
      <c r="AC24" s="44" t="str">
        <f>IFERROR(__xludf.DUMMYFUNCTION("""COMPUTED_VALUE"""),"https://doi.org/10.1109/ICRAMET56917.2022.9991232")</f>
        <v>https://doi.org/10.1109/ICRAMET56917.2022.9991232</v>
      </c>
      <c r="AD24" s="45"/>
      <c r="AE24" s="45"/>
      <c r="AF24" s="45"/>
      <c r="AG24" s="45"/>
      <c r="AH24" s="45"/>
      <c r="AI24" s="45"/>
      <c r="AJ24" s="45"/>
      <c r="AK24" s="45"/>
      <c r="AL24" s="45"/>
      <c r="AM24" s="45"/>
    </row>
    <row r="25" ht="37.5" customHeight="1">
      <c r="A25" s="46">
        <v>20.0</v>
      </c>
      <c r="B25" s="58">
        <f t="shared" si="1"/>
        <v>45406.48871</v>
      </c>
      <c r="C25" s="30" t="s">
        <v>130</v>
      </c>
      <c r="D25" s="47"/>
      <c r="E25" s="72" t="s">
        <v>147</v>
      </c>
      <c r="F25" s="34" t="s">
        <v>108</v>
      </c>
      <c r="G25" s="34" t="s">
        <v>109</v>
      </c>
      <c r="H25" s="36"/>
      <c r="I25" s="35"/>
      <c r="J25" s="35"/>
      <c r="K25" s="35"/>
      <c r="L25" s="35"/>
      <c r="M25" s="35"/>
      <c r="N25" s="35"/>
      <c r="O25" s="36" t="s">
        <v>148</v>
      </c>
      <c r="P25" s="36" t="s">
        <v>26</v>
      </c>
      <c r="Q25" s="36" t="s">
        <v>27</v>
      </c>
      <c r="R25" s="68" t="s">
        <v>149</v>
      </c>
      <c r="S25" s="36" t="s">
        <v>29</v>
      </c>
      <c r="T25" s="36" t="s">
        <v>30</v>
      </c>
      <c r="U25" s="37" t="s">
        <v>31</v>
      </c>
      <c r="V25" s="59" t="s">
        <v>150</v>
      </c>
      <c r="W25" s="73" t="s">
        <v>151</v>
      </c>
      <c r="X25" s="57"/>
      <c r="Z25" s="51" t="str">
        <f>IFERROR(__xludf.DUMMYFUNCTION("""COMPUTED_VALUE"""),"Data Analysis and Visualization of InaCBT Labuan Bajo System")</f>
        <v>Data Analysis and Visualization of InaCBT Labuan Bajo System</v>
      </c>
      <c r="AA25" s="51" t="str">
        <f>IFERROR(__xludf.DUMMYFUNCTION("""COMPUTED_VALUE"""),"Published")</f>
        <v>Published</v>
      </c>
      <c r="AB25" s="56"/>
      <c r="AC25" s="44" t="str">
        <f>IFERROR(__xludf.DUMMYFUNCTION("""COMPUTED_VALUE"""),"https://doi.org/10.1109/OETIC57156.2022.10176229")</f>
        <v>https://doi.org/10.1109/OETIC57156.2022.10176229</v>
      </c>
      <c r="AD25" s="45"/>
      <c r="AE25" s="45"/>
      <c r="AF25" s="45"/>
      <c r="AG25" s="45"/>
      <c r="AH25" s="45"/>
      <c r="AI25" s="45"/>
      <c r="AJ25" s="45"/>
      <c r="AK25" s="45"/>
      <c r="AL25" s="45"/>
      <c r="AM25" s="45"/>
    </row>
    <row r="26" ht="37.5" customHeight="1">
      <c r="A26" s="46">
        <v>21.0</v>
      </c>
      <c r="B26" s="58">
        <f t="shared" si="1"/>
        <v>45440.46621</v>
      </c>
      <c r="C26" s="74"/>
      <c r="D26" s="47"/>
      <c r="E26" s="34" t="s">
        <v>152</v>
      </c>
      <c r="F26" s="34" t="s">
        <v>23</v>
      </c>
      <c r="G26" s="34" t="s">
        <v>153</v>
      </c>
      <c r="H26" s="35"/>
      <c r="I26" s="35"/>
      <c r="J26" s="35"/>
      <c r="K26" s="35"/>
      <c r="L26" s="35"/>
      <c r="M26" s="35"/>
      <c r="N26" s="35"/>
      <c r="O26" s="75" t="s">
        <v>154</v>
      </c>
      <c r="P26" s="36" t="s">
        <v>26</v>
      </c>
      <c r="Q26" s="36" t="s">
        <v>127</v>
      </c>
      <c r="R26" s="68" t="s">
        <v>155</v>
      </c>
      <c r="S26" s="36" t="s">
        <v>29</v>
      </c>
      <c r="T26" s="36" t="s">
        <v>85</v>
      </c>
      <c r="U26" s="37" t="s">
        <v>31</v>
      </c>
      <c r="V26" s="35"/>
      <c r="W26" s="69"/>
      <c r="X26" s="57"/>
      <c r="Z26" s="51" t="str">
        <f>IFERROR(__xludf.DUMMYFUNCTION("""COMPUTED_VALUE"""),"Synthesis of CuInS2 thin film photocathode with variation of sulfurization sources and Pt-In2S3 modification for photoelectrochemical water splitting")</f>
        <v>Synthesis of CuInS2 thin film photocathode with variation of sulfurization sources and Pt-In2S3 modification for photoelectrochemical water splitting</v>
      </c>
      <c r="AA26" s="51" t="str">
        <f>IFERROR(__xludf.DUMMYFUNCTION("""COMPUTED_VALUE"""),"Published")</f>
        <v>Published</v>
      </c>
      <c r="AB26" s="56"/>
      <c r="AC26" s="44" t="str">
        <f>IFERROR(__xludf.DUMMYFUNCTION("""COMPUTED_VALUE"""),"https://doi.org/10.1016/j.jelechem.2023.117683")</f>
        <v>https://doi.org/10.1016/j.jelechem.2023.117683</v>
      </c>
      <c r="AD26" s="45"/>
      <c r="AE26" s="45"/>
      <c r="AF26" s="45"/>
      <c r="AG26" s="45"/>
      <c r="AH26" s="45"/>
      <c r="AI26" s="45"/>
      <c r="AJ26" s="45"/>
      <c r="AK26" s="45"/>
      <c r="AL26" s="45"/>
      <c r="AM26" s="45"/>
    </row>
    <row r="27" ht="37.5" customHeight="1">
      <c r="A27" s="46">
        <v>22.0</v>
      </c>
      <c r="B27" s="58">
        <f t="shared" si="1"/>
        <v>45440.46621</v>
      </c>
      <c r="C27" s="30" t="s">
        <v>156</v>
      </c>
      <c r="D27" s="47"/>
      <c r="E27" s="34" t="s">
        <v>157</v>
      </c>
      <c r="F27" s="34" t="s">
        <v>108</v>
      </c>
      <c r="G27" s="34" t="s">
        <v>126</v>
      </c>
      <c r="H27" s="67" t="s">
        <v>158</v>
      </c>
      <c r="I27" s="35"/>
      <c r="J27" s="35"/>
      <c r="K27" s="35"/>
      <c r="L27" s="35"/>
      <c r="M27" s="35"/>
      <c r="N27" s="35"/>
      <c r="O27" s="35"/>
      <c r="P27" s="36" t="s">
        <v>26</v>
      </c>
      <c r="Q27" s="36" t="s">
        <v>27</v>
      </c>
      <c r="R27" s="76" t="s">
        <v>159</v>
      </c>
      <c r="S27" s="36" t="s">
        <v>29</v>
      </c>
      <c r="T27" s="36" t="s">
        <v>85</v>
      </c>
      <c r="U27" s="37" t="s">
        <v>31</v>
      </c>
      <c r="V27" s="39" t="s">
        <v>160</v>
      </c>
      <c r="W27" s="39" t="s">
        <v>161</v>
      </c>
      <c r="X27" s="77" t="s">
        <v>162</v>
      </c>
      <c r="Z27" s="51" t="str">
        <f>IFERROR(__xludf.DUMMYFUNCTION("""COMPUTED_VALUE"""),"p-Type Conjugated Polymers Containing Electron-Deficient Pentacyclic Azepinedione")</f>
        <v>p-Type Conjugated Polymers Containing Electron-Deficient Pentacyclic Azepinedione</v>
      </c>
      <c r="AA27" s="51" t="str">
        <f>IFERROR(__xludf.DUMMYFUNCTION("""COMPUTED_VALUE"""),"Published")</f>
        <v>Published</v>
      </c>
      <c r="AB27" s="56"/>
      <c r="AC27" s="44" t="str">
        <f>IFERROR(__xludf.DUMMYFUNCTION("""COMPUTED_VALUE"""),"https://doi.org/10.1021/acs.macromol.3c00843")</f>
        <v>https://doi.org/10.1021/acs.macromol.3c00843</v>
      </c>
      <c r="AD27" s="45"/>
      <c r="AE27" s="45"/>
      <c r="AF27" s="45"/>
      <c r="AG27" s="45"/>
      <c r="AH27" s="45"/>
      <c r="AI27" s="45"/>
      <c r="AJ27" s="45"/>
      <c r="AK27" s="45"/>
      <c r="AL27" s="45"/>
      <c r="AM27" s="45"/>
    </row>
    <row r="28" ht="37.5" customHeight="1">
      <c r="A28" s="46">
        <v>23.0</v>
      </c>
      <c r="B28" s="58" t="str">
        <f t="shared" si="1"/>
        <v/>
      </c>
      <c r="C28" s="78"/>
      <c r="D28" s="47"/>
      <c r="E28" s="34"/>
      <c r="F28" s="34"/>
      <c r="G28" s="34"/>
      <c r="H28" s="35"/>
      <c r="I28" s="35"/>
      <c r="J28" s="35"/>
      <c r="K28" s="35"/>
      <c r="L28" s="35"/>
      <c r="M28" s="35"/>
      <c r="N28" s="35"/>
      <c r="O28" s="36"/>
      <c r="P28" s="36"/>
      <c r="Q28" s="36"/>
      <c r="R28" s="79"/>
      <c r="S28" s="36"/>
      <c r="T28" s="36"/>
      <c r="U28" s="37" t="s">
        <v>31</v>
      </c>
      <c r="V28" s="64"/>
      <c r="W28" s="39"/>
      <c r="X28" s="70" t="s">
        <v>163</v>
      </c>
      <c r="Z28" s="51" t="str">
        <f>IFERROR(__xludf.DUMMYFUNCTION("""COMPUTED_VALUE"""),"Physical properties of Gd3+ ion doped fluorotellurite glass and their radiation shielding parameter")</f>
        <v>Physical properties of Gd3+ ion doped fluorotellurite glass and their radiation shielding parameter</v>
      </c>
      <c r="AA28" s="51" t="str">
        <f>IFERROR(__xludf.DUMMYFUNCTION("""COMPUTED_VALUE"""),"Published")</f>
        <v>Published</v>
      </c>
      <c r="AB28" s="56"/>
      <c r="AC28" s="44" t="str">
        <f>IFERROR(__xludf.DUMMYFUNCTION("""COMPUTED_VALUE"""),"https://doi.org/10.1063/5.0112874")</f>
        <v>https://doi.org/10.1063/5.0112874</v>
      </c>
      <c r="AD28" s="45"/>
      <c r="AE28" s="45"/>
      <c r="AF28" s="45"/>
      <c r="AG28" s="45"/>
      <c r="AH28" s="45"/>
      <c r="AI28" s="45"/>
      <c r="AJ28" s="45"/>
      <c r="AK28" s="45"/>
      <c r="AL28" s="45"/>
      <c r="AM28" s="45"/>
    </row>
    <row r="29" ht="37.5" customHeight="1">
      <c r="A29" s="46">
        <v>24.0</v>
      </c>
      <c r="B29" s="58">
        <f t="shared" si="1"/>
        <v>45440.58449</v>
      </c>
      <c r="C29" s="30" t="s">
        <v>164</v>
      </c>
      <c r="D29" s="47"/>
      <c r="E29" s="34" t="s">
        <v>165</v>
      </c>
      <c r="F29" s="34" t="s">
        <v>46</v>
      </c>
      <c r="G29" s="34" t="s">
        <v>47</v>
      </c>
      <c r="H29" s="35"/>
      <c r="I29" s="35"/>
      <c r="J29" s="35"/>
      <c r="K29" s="35"/>
      <c r="L29" s="35"/>
      <c r="M29" s="35"/>
      <c r="N29" s="35"/>
      <c r="O29" s="36" t="s">
        <v>166</v>
      </c>
      <c r="P29" s="36" t="s">
        <v>26</v>
      </c>
      <c r="Q29" s="36" t="s">
        <v>27</v>
      </c>
      <c r="R29" s="79" t="s">
        <v>167</v>
      </c>
      <c r="S29" s="36" t="s">
        <v>29</v>
      </c>
      <c r="T29" s="36" t="s">
        <v>61</v>
      </c>
      <c r="U29" s="37" t="s">
        <v>31</v>
      </c>
      <c r="V29" s="39" t="s">
        <v>168</v>
      </c>
      <c r="W29" s="39" t="s">
        <v>169</v>
      </c>
      <c r="X29" s="50"/>
      <c r="Z29" s="51" t="str">
        <f>IFERROR(__xludf.DUMMYFUNCTION("""COMPUTED_VALUE"""),"Development of Trivalent Samarium Ion-Doped Barium Fluoroborotellurite Glasses for Solid-State Lighting and Scintillation Material")</f>
        <v>Development of Trivalent Samarium Ion-Doped Barium Fluoroborotellurite Glasses for Solid-State Lighting and Scintillation Material</v>
      </c>
      <c r="AA29" s="51" t="str">
        <f>IFERROR(__xludf.DUMMYFUNCTION("""COMPUTED_VALUE"""),"Published")</f>
        <v>Published</v>
      </c>
      <c r="AB29" s="56"/>
      <c r="AC29" s="45" t="str">
        <f>IFERROR(__xludf.DUMMYFUNCTION("""COMPUTED_VALUE"""),"10.1088/1755-1315/1209/1/012014")</f>
        <v>10.1088/1755-1315/1209/1/012014</v>
      </c>
      <c r="AD29" s="45"/>
      <c r="AE29" s="45"/>
      <c r="AF29" s="45"/>
      <c r="AG29" s="45"/>
      <c r="AH29" s="45"/>
      <c r="AI29" s="45"/>
      <c r="AJ29" s="45"/>
      <c r="AK29" s="45"/>
      <c r="AL29" s="45"/>
      <c r="AM29" s="45"/>
    </row>
    <row r="30" ht="37.5" customHeight="1">
      <c r="A30" s="46">
        <v>25.0</v>
      </c>
      <c r="B30" s="58">
        <f t="shared" si="1"/>
        <v>45440.58756</v>
      </c>
      <c r="C30" s="80"/>
      <c r="D30" s="47"/>
      <c r="E30" s="34" t="s">
        <v>170</v>
      </c>
      <c r="F30" s="34" t="s">
        <v>46</v>
      </c>
      <c r="G30" s="34" t="s">
        <v>47</v>
      </c>
      <c r="H30" s="35"/>
      <c r="I30" s="35"/>
      <c r="J30" s="35"/>
      <c r="K30" s="35"/>
      <c r="L30" s="35"/>
      <c r="M30" s="35"/>
      <c r="N30" s="35"/>
      <c r="O30" s="36" t="s">
        <v>171</v>
      </c>
      <c r="P30" s="36" t="s">
        <v>26</v>
      </c>
      <c r="Q30" s="36" t="s">
        <v>27</v>
      </c>
      <c r="R30" s="79" t="s">
        <v>172</v>
      </c>
      <c r="S30" s="36" t="s">
        <v>173</v>
      </c>
      <c r="T30" s="35"/>
      <c r="U30" s="37" t="s">
        <v>31</v>
      </c>
      <c r="V30" s="39" t="s">
        <v>174</v>
      </c>
      <c r="W30" s="39" t="s">
        <v>175</v>
      </c>
      <c r="X30" s="50"/>
      <c r="Z30" s="51" t="str">
        <f>IFERROR(__xludf.DUMMYFUNCTION("""COMPUTED_VALUE"""),"Skin layer classification by feedforward neural network in bioelectrical impedance spectroscopy")</f>
        <v>Skin layer classification by feedforward neural network in bioelectrical impedance spectroscopy</v>
      </c>
      <c r="AA30" s="51" t="str">
        <f>IFERROR(__xludf.DUMMYFUNCTION("""COMPUTED_VALUE"""),"Published")</f>
        <v>Published</v>
      </c>
      <c r="AB30" s="56"/>
      <c r="AC30" s="44" t="str">
        <f>IFERROR(__xludf.DUMMYFUNCTION("""COMPUTED_VALUE"""),"https://doi.org/10.2478/joeb-2023-0004")</f>
        <v>https://doi.org/10.2478/joeb-2023-0004</v>
      </c>
      <c r="AD30" s="45"/>
      <c r="AE30" s="45"/>
      <c r="AF30" s="45"/>
      <c r="AG30" s="45"/>
      <c r="AH30" s="45"/>
      <c r="AI30" s="45"/>
      <c r="AJ30" s="45"/>
      <c r="AK30" s="45"/>
      <c r="AL30" s="45"/>
      <c r="AM30" s="45"/>
    </row>
    <row r="31" ht="37.5" customHeight="1">
      <c r="A31" s="46">
        <v>26.0</v>
      </c>
      <c r="B31" s="58">
        <f t="shared" si="1"/>
        <v>45441.44505</v>
      </c>
      <c r="C31" s="30" t="s">
        <v>164</v>
      </c>
      <c r="D31" s="47"/>
      <c r="E31" s="34" t="s">
        <v>176</v>
      </c>
      <c r="F31" s="34" t="s">
        <v>46</v>
      </c>
      <c r="G31" s="34" t="s">
        <v>132</v>
      </c>
      <c r="H31" s="36" t="s">
        <v>177</v>
      </c>
      <c r="I31" s="36" t="s">
        <v>178</v>
      </c>
      <c r="J31" s="36" t="s">
        <v>179</v>
      </c>
      <c r="K31" s="35"/>
      <c r="L31" s="35"/>
      <c r="M31" s="35"/>
      <c r="N31" s="35"/>
      <c r="O31" s="36" t="s">
        <v>180</v>
      </c>
      <c r="P31" s="36" t="s">
        <v>26</v>
      </c>
      <c r="Q31" s="36" t="s">
        <v>27</v>
      </c>
      <c r="R31" s="79" t="s">
        <v>72</v>
      </c>
      <c r="S31" s="36" t="s">
        <v>29</v>
      </c>
      <c r="T31" s="36" t="s">
        <v>30</v>
      </c>
      <c r="U31" s="37" t="s">
        <v>31</v>
      </c>
      <c r="V31" s="63" t="s">
        <v>181</v>
      </c>
      <c r="W31" s="60" t="s">
        <v>182</v>
      </c>
      <c r="X31" s="50"/>
      <c r="Z31" s="51" t="str">
        <f>IFERROR(__xludf.DUMMYFUNCTION("""COMPUTED_VALUE"""),"Free and Bound Sodium Identification by Skin Dielectric Properties Separation Algorithm of Bioelectrical Impedance Spectroscopy (spa-BIS) in Human Skin Model")</f>
        <v>Free and Bound Sodium Identification by Skin Dielectric Properties Separation Algorithm of Bioelectrical Impedance Spectroscopy (spa-BIS) in Human Skin Model</v>
      </c>
      <c r="AA31" s="51" t="str">
        <f>IFERROR(__xludf.DUMMYFUNCTION("""COMPUTED_VALUE"""),"Published")</f>
        <v>Published</v>
      </c>
      <c r="AB31" s="56"/>
      <c r="AC31" s="45" t="str">
        <f>IFERROR(__xludf.DUMMYFUNCTION("""COMPUTED_VALUE"""),"10.1088/2057-1976/ace7d8")</f>
        <v>10.1088/2057-1976/ace7d8</v>
      </c>
      <c r="AD31" s="45"/>
      <c r="AE31" s="45"/>
      <c r="AF31" s="45"/>
      <c r="AG31" s="45"/>
      <c r="AH31" s="45"/>
      <c r="AI31" s="45"/>
      <c r="AJ31" s="45"/>
      <c r="AK31" s="45"/>
      <c r="AL31" s="45"/>
      <c r="AM31" s="45"/>
    </row>
    <row r="32" ht="37.5" customHeight="1">
      <c r="A32" s="46">
        <v>27.0</v>
      </c>
      <c r="B32" s="58">
        <f t="shared" si="1"/>
        <v>45441.44505</v>
      </c>
      <c r="C32" s="30" t="s">
        <v>164</v>
      </c>
      <c r="D32" s="47"/>
      <c r="E32" s="34" t="s">
        <v>183</v>
      </c>
      <c r="F32" s="34" t="s">
        <v>46</v>
      </c>
      <c r="G32" s="34" t="s">
        <v>125</v>
      </c>
      <c r="H32" s="35"/>
      <c r="I32" s="35"/>
      <c r="J32" s="35"/>
      <c r="K32" s="35"/>
      <c r="L32" s="35"/>
      <c r="M32" s="35"/>
      <c r="N32" s="35"/>
      <c r="O32" s="36" t="s">
        <v>184</v>
      </c>
      <c r="P32" s="36" t="s">
        <v>83</v>
      </c>
      <c r="Q32" s="36" t="s">
        <v>27</v>
      </c>
      <c r="R32" s="79" t="s">
        <v>185</v>
      </c>
      <c r="S32" s="36" t="s">
        <v>29</v>
      </c>
      <c r="T32" s="35"/>
      <c r="U32" s="37" t="s">
        <v>31</v>
      </c>
      <c r="V32" s="59" t="s">
        <v>186</v>
      </c>
      <c r="W32" s="39" t="s">
        <v>187</v>
      </c>
      <c r="X32" s="55" t="s">
        <v>188</v>
      </c>
      <c r="Z32" s="51" t="str">
        <f>IFERROR(__xludf.DUMMYFUNCTION("""COMPUTED_VALUE"""),"Design and Fabrication of PVA-SnO2 Based Humidity Sensors")</f>
        <v>Design and Fabrication of PVA-SnO2 Based Humidity Sensors</v>
      </c>
      <c r="AA32" s="51" t="str">
        <f>IFERROR(__xludf.DUMMYFUNCTION("""COMPUTED_VALUE"""),"Published")</f>
        <v>Published</v>
      </c>
      <c r="AB32" s="56"/>
      <c r="AC32" s="44" t="str">
        <f>IFERROR(__xludf.DUMMYFUNCTION("""COMPUTED_VALUE"""),"https://doi.org/10.11113/elektrika.v22n1.419")</f>
        <v>https://doi.org/10.11113/elektrika.v22n1.419</v>
      </c>
      <c r="AD32" s="45"/>
      <c r="AE32" s="45"/>
      <c r="AF32" s="45"/>
      <c r="AG32" s="45"/>
      <c r="AH32" s="45"/>
      <c r="AI32" s="45"/>
      <c r="AJ32" s="45"/>
      <c r="AK32" s="45"/>
      <c r="AL32" s="45"/>
      <c r="AM32" s="45"/>
    </row>
    <row r="33" ht="37.5" customHeight="1">
      <c r="A33" s="46">
        <v>28.0</v>
      </c>
      <c r="B33" s="58">
        <f t="shared" si="1"/>
        <v>45441.4667</v>
      </c>
      <c r="C33" s="80"/>
      <c r="D33" s="47"/>
      <c r="E33" s="34" t="s">
        <v>189</v>
      </c>
      <c r="F33" s="34" t="s">
        <v>23</v>
      </c>
      <c r="G33" s="34" t="s">
        <v>76</v>
      </c>
      <c r="H33" s="36" t="s">
        <v>190</v>
      </c>
      <c r="I33" s="35"/>
      <c r="J33" s="35"/>
      <c r="K33" s="35"/>
      <c r="L33" s="35"/>
      <c r="M33" s="35"/>
      <c r="N33" s="35"/>
      <c r="O33" s="36" t="s">
        <v>191</v>
      </c>
      <c r="P33" s="36" t="s">
        <v>26</v>
      </c>
      <c r="Q33" s="36" t="s">
        <v>192</v>
      </c>
      <c r="R33" s="79" t="s">
        <v>193</v>
      </c>
      <c r="S33" s="36" t="s">
        <v>29</v>
      </c>
      <c r="T33" s="36" t="s">
        <v>61</v>
      </c>
      <c r="U33" s="37" t="s">
        <v>31</v>
      </c>
      <c r="V33" s="59" t="s">
        <v>194</v>
      </c>
      <c r="W33" s="69"/>
      <c r="X33" s="57"/>
      <c r="Z33" s="51" t="str">
        <f>IFERROR(__xludf.DUMMYFUNCTION("""COMPUTED_VALUE"""),"Enabling EV Roaming Through Cascading WebSockets in OCPP 1.6")</f>
        <v>Enabling EV Roaming Through Cascading WebSockets in OCPP 1.6</v>
      </c>
      <c r="AA33" s="51" t="str">
        <f>IFERROR(__xludf.DUMMYFUNCTION("""COMPUTED_VALUE"""),"Published")</f>
        <v>Published</v>
      </c>
      <c r="AB33" s="56"/>
      <c r="AC33" s="44" t="str">
        <f>IFERROR(__xludf.DUMMYFUNCTION("""COMPUTED_VALUE"""),"https://doi.org/10.18280/jesa.560311")</f>
        <v>https://doi.org/10.18280/jesa.560311</v>
      </c>
      <c r="AD33" s="45"/>
      <c r="AE33" s="45"/>
      <c r="AF33" s="45"/>
      <c r="AG33" s="45"/>
      <c r="AH33" s="45"/>
      <c r="AI33" s="45"/>
      <c r="AJ33" s="45"/>
      <c r="AK33" s="45"/>
      <c r="AL33" s="45"/>
      <c r="AM33" s="45"/>
    </row>
    <row r="34" ht="37.5" customHeight="1">
      <c r="A34" s="46">
        <v>29.0</v>
      </c>
      <c r="B34" s="58">
        <f t="shared" si="1"/>
        <v>45442.41855</v>
      </c>
      <c r="C34" s="81"/>
      <c r="D34" s="47"/>
      <c r="E34" s="34" t="s">
        <v>195</v>
      </c>
      <c r="F34" s="34" t="s">
        <v>46</v>
      </c>
      <c r="G34" s="34" t="s">
        <v>196</v>
      </c>
      <c r="H34" s="35"/>
      <c r="I34" s="35"/>
      <c r="J34" s="35"/>
      <c r="K34" s="35"/>
      <c r="L34" s="35"/>
      <c r="M34" s="35"/>
      <c r="N34" s="35"/>
      <c r="O34" s="36" t="s">
        <v>197</v>
      </c>
      <c r="P34" s="36" t="s">
        <v>26</v>
      </c>
      <c r="Q34" s="36" t="s">
        <v>27</v>
      </c>
      <c r="R34" s="36" t="s">
        <v>198</v>
      </c>
      <c r="S34" s="36" t="s">
        <v>29</v>
      </c>
      <c r="T34" s="36" t="s">
        <v>30</v>
      </c>
      <c r="U34" s="37" t="s">
        <v>31</v>
      </c>
      <c r="V34" s="59" t="s">
        <v>199</v>
      </c>
      <c r="W34" s="60" t="s">
        <v>200</v>
      </c>
      <c r="X34" s="57"/>
      <c r="Z34" s="51" t="str">
        <f>IFERROR(__xludf.DUMMYFUNCTION("""COMPUTED_VALUE"""),"Dynamic Texture Analysis Using Temporal Grayscale Pattern Image for Water Surface Velocity Measurement""")</f>
        <v>Dynamic Texture Analysis Using Temporal Grayscale Pattern Image for Water Surface Velocity Measurement"</v>
      </c>
      <c r="AA34" s="51" t="str">
        <f>IFERROR(__xludf.DUMMYFUNCTION("""COMPUTED_VALUE"""),"Published")</f>
        <v>Published</v>
      </c>
      <c r="AB34" s="56"/>
      <c r="AC34" s="44" t="str">
        <f>IFERROR(__xludf.DUMMYFUNCTION("""COMPUTED_VALUE"""),"https://doi.org/10.1016/j.imavis.2023.104749")</f>
        <v>https://doi.org/10.1016/j.imavis.2023.104749</v>
      </c>
      <c r="AD34" s="45"/>
      <c r="AE34" s="45"/>
      <c r="AF34" s="45"/>
      <c r="AG34" s="45"/>
      <c r="AH34" s="45"/>
      <c r="AI34" s="45"/>
      <c r="AJ34" s="45"/>
      <c r="AK34" s="45"/>
      <c r="AL34" s="45"/>
      <c r="AM34" s="45"/>
    </row>
    <row r="35" ht="37.5" customHeight="1">
      <c r="A35" s="46">
        <v>30.0</v>
      </c>
      <c r="B35" s="58">
        <f t="shared" si="1"/>
        <v>45442.50707</v>
      </c>
      <c r="C35" s="30" t="s">
        <v>164</v>
      </c>
      <c r="D35" s="47"/>
      <c r="E35" s="34" t="s">
        <v>201</v>
      </c>
      <c r="F35" s="34" t="s">
        <v>108</v>
      </c>
      <c r="G35" s="34" t="s">
        <v>109</v>
      </c>
      <c r="H35" s="35"/>
      <c r="I35" s="35"/>
      <c r="J35" s="35"/>
      <c r="K35" s="35"/>
      <c r="L35" s="35"/>
      <c r="M35" s="35"/>
      <c r="N35" s="35"/>
      <c r="O35" s="36" t="s">
        <v>202</v>
      </c>
      <c r="P35" s="36" t="s">
        <v>83</v>
      </c>
      <c r="Q35" s="36" t="s">
        <v>27</v>
      </c>
      <c r="R35" s="36" t="s">
        <v>203</v>
      </c>
      <c r="S35" s="36" t="s">
        <v>29</v>
      </c>
      <c r="T35" s="36" t="s">
        <v>85</v>
      </c>
      <c r="U35" s="37" t="s">
        <v>31</v>
      </c>
      <c r="V35" s="59" t="s">
        <v>204</v>
      </c>
      <c r="W35" s="39" t="s">
        <v>205</v>
      </c>
      <c r="X35" s="57"/>
      <c r="Z35" s="51" t="str">
        <f>IFERROR(__xludf.DUMMYFUNCTION("""COMPUTED_VALUE"""),"Rapid and Label-Free Screening of SARS-CoV-2 Virus in the Infected Human Nasopharyngeal Swab Samples using UiO-66-modified SPR chip")</f>
        <v>Rapid and Label-Free Screening of SARS-CoV-2 Virus in the Infected Human Nasopharyngeal Swab Samples using UiO-66-modified SPR chip</v>
      </c>
      <c r="AA35" s="51" t="str">
        <f>IFERROR(__xludf.DUMMYFUNCTION("""COMPUTED_VALUE"""),"Published")</f>
        <v>Published</v>
      </c>
      <c r="AB35" s="56"/>
      <c r="AC35" s="44" t="str">
        <f>IFERROR(__xludf.DUMMYFUNCTION("""COMPUTED_VALUE"""),"https://doi.org/10.1016/j.jiec.2023.07.032")</f>
        <v>https://doi.org/10.1016/j.jiec.2023.07.032</v>
      </c>
      <c r="AD35" s="45"/>
      <c r="AE35" s="45"/>
      <c r="AF35" s="45"/>
      <c r="AG35" s="45"/>
      <c r="AH35" s="45"/>
      <c r="AI35" s="45"/>
      <c r="AJ35" s="45"/>
      <c r="AK35" s="45"/>
      <c r="AL35" s="45"/>
      <c r="AM35" s="45"/>
    </row>
    <row r="36" ht="37.5" customHeight="1">
      <c r="A36" s="46">
        <v>31.0</v>
      </c>
      <c r="B36" s="58">
        <f t="shared" si="1"/>
        <v>45444.43129</v>
      </c>
      <c r="C36" s="30" t="s">
        <v>206</v>
      </c>
      <c r="D36" s="47"/>
      <c r="E36" s="34" t="s">
        <v>207</v>
      </c>
      <c r="F36" s="34" t="s">
        <v>34</v>
      </c>
      <c r="G36" s="34" t="s">
        <v>208</v>
      </c>
      <c r="H36" s="35"/>
      <c r="I36" s="35"/>
      <c r="J36" s="35"/>
      <c r="K36" s="35"/>
      <c r="L36" s="35"/>
      <c r="M36" s="35"/>
      <c r="N36" s="35"/>
      <c r="O36" s="36" t="s">
        <v>209</v>
      </c>
      <c r="P36" s="36" t="s">
        <v>26</v>
      </c>
      <c r="Q36" s="36" t="s">
        <v>27</v>
      </c>
      <c r="R36" s="36" t="s">
        <v>210</v>
      </c>
      <c r="S36" s="36" t="s">
        <v>29</v>
      </c>
      <c r="T36" s="36" t="s">
        <v>43</v>
      </c>
      <c r="U36" s="37" t="s">
        <v>31</v>
      </c>
      <c r="V36" s="39" t="s">
        <v>211</v>
      </c>
      <c r="W36" s="60" t="s">
        <v>212</v>
      </c>
      <c r="X36" s="57"/>
      <c r="Z36" s="51" t="str">
        <f>IFERROR(__xludf.DUMMYFUNCTION("""COMPUTED_VALUE"""),"Initial Study and Performance Analysis of Vertical LoRa Using Drone in Forest Areas")</f>
        <v>Initial Study and Performance Analysis of Vertical LoRa Using Drone in Forest Areas</v>
      </c>
      <c r="AA36" s="51" t="str">
        <f>IFERROR(__xludf.DUMMYFUNCTION("""COMPUTED_VALUE"""),"Published")</f>
        <v>Published</v>
      </c>
      <c r="AB36" s="56"/>
      <c r="AC36" s="44" t="str">
        <f>IFERROR(__xludf.DUMMYFUNCTION("""COMPUTED_VALUE"""),"https://doi.org/10.1145/3575882.3575889")</f>
        <v>https://doi.org/10.1145/3575882.3575889</v>
      </c>
      <c r="AD36" s="45"/>
      <c r="AE36" s="45"/>
      <c r="AF36" s="45"/>
      <c r="AG36" s="45"/>
      <c r="AH36" s="45"/>
      <c r="AI36" s="45"/>
      <c r="AJ36" s="45"/>
      <c r="AK36" s="45"/>
      <c r="AL36" s="45"/>
      <c r="AM36" s="45"/>
    </row>
    <row r="37" ht="37.5" customHeight="1">
      <c r="A37" s="46">
        <v>32.0</v>
      </c>
      <c r="B37" s="58">
        <f t="shared" si="1"/>
        <v>45444.43733</v>
      </c>
      <c r="C37" s="81"/>
      <c r="D37" s="47"/>
      <c r="E37" s="72" t="s">
        <v>213</v>
      </c>
      <c r="F37" s="34" t="s">
        <v>46</v>
      </c>
      <c r="G37" s="34" t="s">
        <v>124</v>
      </c>
      <c r="H37" s="35"/>
      <c r="I37" s="36" t="s">
        <v>125</v>
      </c>
      <c r="J37" s="35"/>
      <c r="K37" s="35"/>
      <c r="L37" s="35"/>
      <c r="M37" s="35"/>
      <c r="N37" s="35"/>
      <c r="O37" s="36" t="s">
        <v>214</v>
      </c>
      <c r="P37" s="36" t="s">
        <v>83</v>
      </c>
      <c r="Q37" s="36" t="s">
        <v>215</v>
      </c>
      <c r="R37" s="35"/>
      <c r="S37" s="35"/>
      <c r="T37" s="35"/>
      <c r="U37" s="37" t="s">
        <v>31</v>
      </c>
      <c r="V37" s="35"/>
      <c r="W37" s="69"/>
      <c r="X37" s="57"/>
      <c r="Z37" s="51" t="str">
        <f>IFERROR(__xludf.DUMMYFUNCTION("""COMPUTED_VALUE"""),"Performance of Low-cost GPS-RTK for Navigating AGV Outdoors")</f>
        <v>Performance of Low-cost GPS-RTK for Navigating AGV Outdoors</v>
      </c>
      <c r="AA37" s="51" t="str">
        <f>IFERROR(__xludf.DUMMYFUNCTION("""COMPUTED_VALUE"""),"Published")</f>
        <v>Published</v>
      </c>
      <c r="AB37" s="56"/>
      <c r="AC37" s="45" t="str">
        <f>IFERROR(__xludf.DUMMYFUNCTION("""COMPUTED_VALUE"""),"10.1109/ICITISEE57756.2022.10057689")</f>
        <v>10.1109/ICITISEE57756.2022.10057689</v>
      </c>
      <c r="AD37" s="45"/>
      <c r="AE37" s="45"/>
      <c r="AF37" s="45"/>
      <c r="AG37" s="45"/>
      <c r="AH37" s="45"/>
      <c r="AI37" s="45"/>
      <c r="AJ37" s="45"/>
      <c r="AK37" s="45"/>
      <c r="AL37" s="45"/>
      <c r="AM37" s="45"/>
    </row>
    <row r="38" ht="37.5" customHeight="1">
      <c r="A38" s="46">
        <v>33.0</v>
      </c>
      <c r="B38" s="58">
        <f t="shared" si="1"/>
        <v>45444.45697</v>
      </c>
      <c r="C38" s="30" t="s">
        <v>156</v>
      </c>
      <c r="D38" s="47"/>
      <c r="E38" s="72" t="s">
        <v>216</v>
      </c>
      <c r="F38" s="34" t="s">
        <v>58</v>
      </c>
      <c r="G38" s="34" t="s">
        <v>217</v>
      </c>
      <c r="H38" s="35"/>
      <c r="I38" s="35"/>
      <c r="J38" s="35"/>
      <c r="K38" s="35"/>
      <c r="L38" s="35"/>
      <c r="M38" s="35"/>
      <c r="N38" s="35"/>
      <c r="O38" s="36" t="s">
        <v>218</v>
      </c>
      <c r="P38" s="36" t="s">
        <v>26</v>
      </c>
      <c r="Q38" s="36" t="s">
        <v>27</v>
      </c>
      <c r="R38" s="82" t="s">
        <v>219</v>
      </c>
      <c r="S38" s="36" t="s">
        <v>29</v>
      </c>
      <c r="T38" s="36" t="s">
        <v>43</v>
      </c>
      <c r="U38" s="37" t="s">
        <v>31</v>
      </c>
      <c r="V38" s="59" t="s">
        <v>220</v>
      </c>
      <c r="W38" s="83" t="s">
        <v>221</v>
      </c>
      <c r="X38" s="55"/>
      <c r="Z38" s="51" t="str">
        <f>IFERROR(__xludf.DUMMYFUNCTION("""COMPUTED_VALUE"""),"Substrate Comparison on Multiband Reflector Performance for Intelligent Reflecting Surfaces (IRSs)")</f>
        <v>Substrate Comparison on Multiband Reflector Performance for Intelligent Reflecting Surfaces (IRSs)</v>
      </c>
      <c r="AA38" s="51" t="str">
        <f>IFERROR(__xludf.DUMMYFUNCTION("""COMPUTED_VALUE"""),"Published")</f>
        <v>Published</v>
      </c>
      <c r="AB38" s="56"/>
      <c r="AC38" s="44" t="str">
        <f>IFERROR(__xludf.DUMMYFUNCTION("""COMPUTED_VALUE"""),"https://doi.org/10.11113/elektrika.v22n2.457")</f>
        <v>https://doi.org/10.11113/elektrika.v22n2.457</v>
      </c>
      <c r="AD38" s="45"/>
      <c r="AE38" s="45"/>
      <c r="AF38" s="45"/>
      <c r="AG38" s="45"/>
      <c r="AH38" s="45"/>
      <c r="AI38" s="45"/>
      <c r="AJ38" s="45"/>
      <c r="AK38" s="45"/>
      <c r="AL38" s="45"/>
      <c r="AM38" s="45"/>
    </row>
    <row r="39" ht="37.5" customHeight="1">
      <c r="A39" s="46">
        <v>34.0</v>
      </c>
      <c r="B39" s="58">
        <f t="shared" si="1"/>
        <v>45444.45748</v>
      </c>
      <c r="C39" s="81"/>
      <c r="D39" s="47"/>
      <c r="E39" s="84" t="s">
        <v>222</v>
      </c>
      <c r="F39" s="34" t="s">
        <v>108</v>
      </c>
      <c r="G39" s="34" t="s">
        <v>109</v>
      </c>
      <c r="H39" s="35"/>
      <c r="I39" s="35"/>
      <c r="J39" s="35"/>
      <c r="K39" s="35"/>
      <c r="L39" s="35"/>
      <c r="M39" s="35"/>
      <c r="N39" s="35"/>
      <c r="O39" s="36" t="s">
        <v>223</v>
      </c>
      <c r="P39" s="36" t="s">
        <v>26</v>
      </c>
      <c r="Q39" s="36" t="s">
        <v>27</v>
      </c>
      <c r="R39" s="79" t="s">
        <v>224</v>
      </c>
      <c r="S39" s="36" t="s">
        <v>29</v>
      </c>
      <c r="T39" s="36" t="s">
        <v>43</v>
      </c>
      <c r="U39" s="37" t="s">
        <v>31</v>
      </c>
      <c r="V39" s="63" t="s">
        <v>225</v>
      </c>
      <c r="W39" s="39" t="s">
        <v>226</v>
      </c>
      <c r="X39" s="55" t="s">
        <v>227</v>
      </c>
      <c r="Z39" s="51" t="str">
        <f>IFERROR(__xludf.DUMMYFUNCTION("""COMPUTED_VALUE"""),"Multiband X-Band Frequency for Reflecting Intelligent Surfaces (IRSs)")</f>
        <v>Multiband X-Band Frequency for Reflecting Intelligent Surfaces (IRSs)</v>
      </c>
      <c r="AA39" s="51" t="str">
        <f>IFERROR(__xludf.DUMMYFUNCTION("""COMPUTED_VALUE"""),"Published")</f>
        <v>Published</v>
      </c>
      <c r="AB39" s="56"/>
      <c r="AC39" s="44" t="str">
        <f>IFERROR(__xludf.DUMMYFUNCTION("""COMPUTED_VALUE"""),"https://doi.org/10.1109/USNC-URSI52151.2023.10238061")</f>
        <v>https://doi.org/10.1109/USNC-URSI52151.2023.10238061</v>
      </c>
      <c r="AD39" s="45"/>
      <c r="AE39" s="45"/>
      <c r="AF39" s="45"/>
      <c r="AG39" s="45"/>
      <c r="AH39" s="45"/>
      <c r="AI39" s="45"/>
      <c r="AJ39" s="45"/>
      <c r="AK39" s="45"/>
      <c r="AL39" s="45"/>
      <c r="AM39" s="45"/>
    </row>
    <row r="40" ht="37.5" customHeight="1">
      <c r="A40" s="46">
        <v>35.0</v>
      </c>
      <c r="B40" s="85">
        <f t="shared" si="1"/>
        <v>45444.45825</v>
      </c>
      <c r="C40" s="86"/>
      <c r="D40" s="87"/>
      <c r="E40" s="88" t="s">
        <v>228</v>
      </c>
      <c r="F40" s="89" t="s">
        <v>108</v>
      </c>
      <c r="G40" s="90" t="s">
        <v>109</v>
      </c>
      <c r="H40" s="91"/>
      <c r="I40" s="91"/>
      <c r="J40" s="91"/>
      <c r="K40" s="91"/>
      <c r="L40" s="91"/>
      <c r="M40" s="91"/>
      <c r="N40" s="91"/>
      <c r="O40" s="92" t="s">
        <v>229</v>
      </c>
      <c r="P40" s="93" t="s">
        <v>26</v>
      </c>
      <c r="Q40" s="93" t="s">
        <v>27</v>
      </c>
      <c r="R40" s="94" t="s">
        <v>230</v>
      </c>
      <c r="S40" s="93" t="s">
        <v>173</v>
      </c>
      <c r="T40" s="87"/>
      <c r="U40" s="95" t="s">
        <v>31</v>
      </c>
      <c r="V40" s="96" t="s">
        <v>231</v>
      </c>
      <c r="W40" s="96" t="s">
        <v>232</v>
      </c>
      <c r="X40" s="97" t="s">
        <v>233</v>
      </c>
      <c r="Z40" s="51" t="str">
        <f>IFERROR(__xludf.DUMMYFUNCTION("""COMPUTED_VALUE"""),"Eco-friendly direct-current pulsed electropolymerization of polyaniline nanofibers on synthetic graphite substrate for counter electrode in dye-sensitized solar cells")</f>
        <v>Eco-friendly direct-current pulsed electropolymerization of polyaniline nanofibers on synthetic graphite substrate for counter electrode in dye-sensitized solar cells</v>
      </c>
      <c r="AA40" s="51" t="str">
        <f>IFERROR(__xludf.DUMMYFUNCTION("""COMPUTED_VALUE"""),"Published")</f>
        <v>Published</v>
      </c>
      <c r="AB40" s="56"/>
      <c r="AC40" s="44" t="str">
        <f>IFERROR(__xludf.DUMMYFUNCTION("""COMPUTED_VALUE"""),"https://doi.org/10.1080/25740881.2022.2151064")</f>
        <v>https://doi.org/10.1080/25740881.2022.2151064</v>
      </c>
      <c r="AD40" s="45"/>
      <c r="AE40" s="45"/>
      <c r="AF40" s="45"/>
      <c r="AG40" s="45"/>
      <c r="AH40" s="45"/>
      <c r="AI40" s="45"/>
      <c r="AJ40" s="45"/>
      <c r="AK40" s="45"/>
      <c r="AL40" s="45"/>
      <c r="AM40" s="45"/>
    </row>
    <row r="41" ht="37.5" customHeight="1">
      <c r="A41" s="46">
        <v>36.0</v>
      </c>
      <c r="B41" s="58">
        <f t="shared" si="1"/>
        <v>45444.46116</v>
      </c>
      <c r="C41" s="30" t="s">
        <v>156</v>
      </c>
      <c r="D41" s="98"/>
      <c r="E41" s="72" t="s">
        <v>234</v>
      </c>
      <c r="F41" s="34" t="s">
        <v>108</v>
      </c>
      <c r="G41" s="34" t="s">
        <v>109</v>
      </c>
      <c r="H41" s="35"/>
      <c r="I41" s="35"/>
      <c r="J41" s="35"/>
      <c r="K41" s="35"/>
      <c r="L41" s="35"/>
      <c r="M41" s="35"/>
      <c r="N41" s="35"/>
      <c r="O41" s="36" t="s">
        <v>235</v>
      </c>
      <c r="P41" s="36" t="s">
        <v>83</v>
      </c>
      <c r="Q41" s="36" t="s">
        <v>27</v>
      </c>
      <c r="R41" s="36" t="s">
        <v>236</v>
      </c>
      <c r="S41" s="36" t="s">
        <v>29</v>
      </c>
      <c r="T41" s="36" t="s">
        <v>85</v>
      </c>
      <c r="U41" s="37" t="s">
        <v>31</v>
      </c>
      <c r="V41" s="39" t="s">
        <v>237</v>
      </c>
      <c r="W41" s="60" t="s">
        <v>238</v>
      </c>
      <c r="X41" s="70" t="s">
        <v>239</v>
      </c>
      <c r="Z41" s="51" t="str">
        <f>IFERROR(__xludf.DUMMYFUNCTION("""COMPUTED_VALUE"""),"Initial Study and Performance Analysis of Vertical LoRa Using Drone in Forest Areas")</f>
        <v>Initial Study and Performance Analysis of Vertical LoRa Using Drone in Forest Areas</v>
      </c>
      <c r="AA41" s="42" t="str">
        <f>IFERROR(__xludf.DUMMYFUNCTION("""COMPUTED_VALUE"""),"Published")</f>
        <v>Published</v>
      </c>
      <c r="AB41" s="56"/>
      <c r="AC41" s="44" t="str">
        <f>IFERROR(__xludf.DUMMYFUNCTION("""COMPUTED_VALUE"""),"https://doi.org/10.1145/3575882.3575889")</f>
        <v>https://doi.org/10.1145/3575882.3575889</v>
      </c>
      <c r="AD41" s="45"/>
      <c r="AE41" s="45"/>
      <c r="AF41" s="45"/>
      <c r="AG41" s="45"/>
      <c r="AH41" s="45"/>
      <c r="AI41" s="45"/>
      <c r="AJ41" s="45"/>
      <c r="AK41" s="45"/>
      <c r="AL41" s="45"/>
      <c r="AM41" s="45"/>
    </row>
    <row r="42" ht="37.5" customHeight="1">
      <c r="A42" s="46">
        <v>37.0</v>
      </c>
      <c r="B42" s="58">
        <f t="shared" si="1"/>
        <v>45444.46116</v>
      </c>
      <c r="C42" s="30" t="s">
        <v>156</v>
      </c>
      <c r="D42" s="47"/>
      <c r="E42" s="72" t="s">
        <v>240</v>
      </c>
      <c r="F42" s="34" t="s">
        <v>108</v>
      </c>
      <c r="G42" s="34" t="s">
        <v>109</v>
      </c>
      <c r="H42" s="35"/>
      <c r="I42" s="35"/>
      <c r="J42" s="35"/>
      <c r="K42" s="35"/>
      <c r="L42" s="35"/>
      <c r="M42" s="35"/>
      <c r="N42" s="35"/>
      <c r="O42" s="36" t="s">
        <v>241</v>
      </c>
      <c r="P42" s="36" t="s">
        <v>83</v>
      </c>
      <c r="Q42" s="36" t="s">
        <v>27</v>
      </c>
      <c r="R42" s="36" t="s">
        <v>236</v>
      </c>
      <c r="S42" s="36" t="s">
        <v>29</v>
      </c>
      <c r="T42" s="36" t="s">
        <v>85</v>
      </c>
      <c r="U42" s="37" t="s">
        <v>31</v>
      </c>
      <c r="V42" s="63" t="s">
        <v>242</v>
      </c>
      <c r="W42" s="60" t="s">
        <v>243</v>
      </c>
      <c r="X42" s="70" t="s">
        <v>239</v>
      </c>
      <c r="Z42" s="51" t="str">
        <f>IFERROR(__xludf.DUMMYFUNCTION("""COMPUTED_VALUE"""),"Symmetric and Asymmetric Porphyrin as Passivating Agent for Perovskite Solar Cells")</f>
        <v>Symmetric and Asymmetric Porphyrin as Passivating Agent for Perovskite Solar Cells</v>
      </c>
      <c r="AA42" s="99" t="str">
        <f>IFERROR(__xludf.DUMMYFUNCTION("""COMPUTED_VALUE"""),"Published")</f>
        <v>Published</v>
      </c>
      <c r="AB42" s="56"/>
      <c r="AC42" s="44" t="str">
        <f>IFERROR(__xludf.DUMMYFUNCTION("""COMPUTED_VALUE"""),"10.1109/ICRAMET60171.2023.10366721")</f>
        <v>10.1109/ICRAMET60171.2023.10366721</v>
      </c>
      <c r="AD42" s="45"/>
      <c r="AE42" s="45"/>
      <c r="AF42" s="45"/>
      <c r="AG42" s="45"/>
      <c r="AH42" s="45"/>
      <c r="AI42" s="45"/>
      <c r="AJ42" s="45"/>
      <c r="AK42" s="45"/>
      <c r="AL42" s="45"/>
      <c r="AM42" s="45"/>
    </row>
    <row r="43" ht="37.5" customHeight="1">
      <c r="A43" s="46">
        <v>38.0</v>
      </c>
      <c r="B43" s="58">
        <f t="shared" si="1"/>
        <v>45444.46116</v>
      </c>
      <c r="C43" s="100"/>
      <c r="D43" s="47"/>
      <c r="E43" s="72" t="s">
        <v>244</v>
      </c>
      <c r="F43" s="34" t="s">
        <v>34</v>
      </c>
      <c r="G43" s="34" t="s">
        <v>37</v>
      </c>
      <c r="H43" s="36" t="s">
        <v>36</v>
      </c>
      <c r="I43" s="36" t="s">
        <v>245</v>
      </c>
      <c r="J43" s="35"/>
      <c r="K43" s="35"/>
      <c r="L43" s="35"/>
      <c r="M43" s="35"/>
      <c r="N43" s="35"/>
      <c r="O43" s="36" t="s">
        <v>246</v>
      </c>
      <c r="P43" s="36" t="s">
        <v>26</v>
      </c>
      <c r="Q43" s="36" t="s">
        <v>192</v>
      </c>
      <c r="R43" s="36" t="s">
        <v>247</v>
      </c>
      <c r="S43" s="36" t="s">
        <v>29</v>
      </c>
      <c r="T43" s="36" t="s">
        <v>43</v>
      </c>
      <c r="U43" s="37" t="s">
        <v>31</v>
      </c>
      <c r="V43" s="35"/>
      <c r="W43" s="69"/>
      <c r="X43" s="70" t="s">
        <v>248</v>
      </c>
      <c r="Z43" s="101" t="str">
        <f>IFERROR(__xludf.DUMMYFUNCTION("""COMPUTED_VALUE"""),"Effect of Sodium Incorporation on CuIn(S,Se)2 Thin Films Fabricated by Aqueous Spray Deposition and Their Photovoltaic Properties")</f>
        <v>Effect of Sodium Incorporation on CuIn(S,Se)2 Thin Films Fabricated by Aqueous Spray Deposition and Their Photovoltaic Properties</v>
      </c>
      <c r="AA43" s="99" t="str">
        <f>IFERROR(__xludf.DUMMYFUNCTION("""COMPUTED_VALUE"""),"Published")</f>
        <v>Published</v>
      </c>
      <c r="AB43" s="99"/>
      <c r="AC43" s="102" t="str">
        <f>IFERROR(__xludf.DUMMYFUNCTION("""COMPUTED_VALUE"""),"https://doi.org/10.1016/j.jcrysgro.2022.126975")</f>
        <v>https://doi.org/10.1016/j.jcrysgro.2022.126975</v>
      </c>
      <c r="AD43" s="103"/>
      <c r="AE43" s="103"/>
      <c r="AF43" s="103"/>
      <c r="AG43" s="103"/>
      <c r="AH43" s="103"/>
      <c r="AI43" s="103"/>
      <c r="AJ43" s="103"/>
      <c r="AK43" s="103"/>
      <c r="AL43" s="103"/>
      <c r="AM43" s="103"/>
    </row>
    <row r="44" ht="37.5" customHeight="1">
      <c r="A44" s="46">
        <v>39.0</v>
      </c>
      <c r="B44" s="58">
        <f t="shared" si="1"/>
        <v>45444.52426</v>
      </c>
      <c r="C44" s="81"/>
      <c r="D44" s="47"/>
      <c r="E44" s="72" t="s">
        <v>249</v>
      </c>
      <c r="F44" s="34" t="s">
        <v>46</v>
      </c>
      <c r="G44" s="34" t="s">
        <v>47</v>
      </c>
      <c r="H44" s="35"/>
      <c r="I44" s="35"/>
      <c r="J44" s="35"/>
      <c r="K44" s="35"/>
      <c r="L44" s="35"/>
      <c r="M44" s="35"/>
      <c r="N44" s="35"/>
      <c r="O44" s="36" t="s">
        <v>250</v>
      </c>
      <c r="P44" s="36" t="s">
        <v>26</v>
      </c>
      <c r="Q44" s="36" t="s">
        <v>27</v>
      </c>
      <c r="R44" s="36" t="s">
        <v>105</v>
      </c>
      <c r="S44" s="36" t="s">
        <v>29</v>
      </c>
      <c r="T44" s="36" t="s">
        <v>30</v>
      </c>
      <c r="U44" s="37" t="s">
        <v>31</v>
      </c>
      <c r="V44" s="59" t="s">
        <v>251</v>
      </c>
      <c r="W44" s="104" t="s">
        <v>252</v>
      </c>
      <c r="X44" s="50"/>
      <c r="Z44" s="101" t="str">
        <f>IFERROR(__xludf.DUMMYFUNCTION("""COMPUTED_VALUE"""),"Water insoluble polyoxometalate derivative (PW11Cs) with high light-reflective properties for 
 counter electrode in dye-sensitized solar cells")</f>
        <v>Water insoluble polyoxometalate derivative (PW11Cs) with high light-reflective properties for 
 counter electrode in dye-sensitized solar cells</v>
      </c>
      <c r="AA44" s="99" t="str">
        <f>IFERROR(__xludf.DUMMYFUNCTION("""COMPUTED_VALUE"""),"Published")</f>
        <v>Published</v>
      </c>
      <c r="AB44" s="99"/>
      <c r="AC44" s="102" t="str">
        <f>IFERROR(__xludf.DUMMYFUNCTION("""COMPUTED_VALUE"""),"10.1109/ICRAMET60171.2023.10366581")</f>
        <v>10.1109/ICRAMET60171.2023.10366581</v>
      </c>
      <c r="AD44" s="103"/>
      <c r="AE44" s="103"/>
      <c r="AF44" s="103"/>
      <c r="AG44" s="103"/>
      <c r="AH44" s="103"/>
      <c r="AI44" s="103"/>
      <c r="AJ44" s="103"/>
      <c r="AK44" s="103"/>
      <c r="AL44" s="103"/>
      <c r="AM44" s="103"/>
    </row>
    <row r="45" ht="37.5" customHeight="1">
      <c r="A45" s="46">
        <v>40.0</v>
      </c>
      <c r="B45" s="58">
        <f t="shared" si="1"/>
        <v>45444.55407</v>
      </c>
      <c r="C45" s="81"/>
      <c r="D45" s="47"/>
      <c r="E45" s="105" t="s">
        <v>253</v>
      </c>
      <c r="F45" s="34" t="s">
        <v>34</v>
      </c>
      <c r="G45" s="34" t="s">
        <v>35</v>
      </c>
      <c r="H45" s="36" t="s">
        <v>40</v>
      </c>
      <c r="I45" s="36" t="s">
        <v>38</v>
      </c>
      <c r="J45" s="35"/>
      <c r="K45" s="35"/>
      <c r="L45" s="35"/>
      <c r="M45" s="35"/>
      <c r="N45" s="35"/>
      <c r="O45" s="106" t="s">
        <v>254</v>
      </c>
      <c r="P45" s="36" t="s">
        <v>26</v>
      </c>
      <c r="Q45" s="36" t="s">
        <v>27</v>
      </c>
      <c r="R45" s="36" t="s">
        <v>255</v>
      </c>
      <c r="S45" s="36" t="s">
        <v>29</v>
      </c>
      <c r="T45" s="36" t="s">
        <v>61</v>
      </c>
      <c r="U45" s="37" t="s">
        <v>31</v>
      </c>
      <c r="V45" s="59" t="s">
        <v>256</v>
      </c>
      <c r="W45" s="39" t="s">
        <v>257</v>
      </c>
      <c r="X45" s="55"/>
      <c r="Z45" s="101" t="str">
        <f>IFERROR(__xludf.DUMMYFUNCTION("""COMPUTED_VALUE"""),"Enhancing Inverted Perovskite Solar Cell Efficiency with Vanadium Oxide-Modified 
 PEDOT:PSS Hole Transport Layer")</f>
        <v>Enhancing Inverted Perovskite Solar Cell Efficiency with Vanadium Oxide-Modified 
 PEDOT:PSS Hole Transport Layer</v>
      </c>
      <c r="AA45" s="99" t="str">
        <f>IFERROR(__xludf.DUMMYFUNCTION("""COMPUTED_VALUE"""),"Published")</f>
        <v>Published</v>
      </c>
      <c r="AB45" s="99"/>
      <c r="AC45" s="102" t="str">
        <f>IFERROR(__xludf.DUMMYFUNCTION("""COMPUTED_VALUE"""),"10.1109/ICRAMET60171.2023.10366601")</f>
        <v>10.1109/ICRAMET60171.2023.10366601</v>
      </c>
      <c r="AD45" s="103"/>
      <c r="AE45" s="103"/>
      <c r="AF45" s="103"/>
      <c r="AG45" s="103"/>
      <c r="AH45" s="103"/>
      <c r="AI45" s="103"/>
      <c r="AJ45" s="103"/>
      <c r="AK45" s="103"/>
      <c r="AL45" s="103"/>
      <c r="AM45" s="103"/>
    </row>
    <row r="46" ht="37.5" customHeight="1">
      <c r="A46" s="46">
        <v>41.0</v>
      </c>
      <c r="B46" s="58">
        <f t="shared" si="1"/>
        <v>45444.56685</v>
      </c>
      <c r="C46" s="30" t="s">
        <v>156</v>
      </c>
      <c r="D46" s="47"/>
      <c r="E46" s="107" t="s">
        <v>258</v>
      </c>
      <c r="F46" s="34" t="s">
        <v>108</v>
      </c>
      <c r="G46" s="34" t="s">
        <v>119</v>
      </c>
      <c r="H46" s="36"/>
      <c r="I46" s="36"/>
      <c r="J46" s="35"/>
      <c r="K46" s="35"/>
      <c r="L46" s="35"/>
      <c r="M46" s="35"/>
      <c r="N46" s="35"/>
      <c r="O46" s="106" t="s">
        <v>259</v>
      </c>
      <c r="P46" s="36" t="s">
        <v>83</v>
      </c>
      <c r="Q46" s="36" t="s">
        <v>27</v>
      </c>
      <c r="R46" s="36" t="s">
        <v>260</v>
      </c>
      <c r="S46" s="36" t="s">
        <v>29</v>
      </c>
      <c r="T46" s="36"/>
      <c r="U46" s="37" t="s">
        <v>31</v>
      </c>
      <c r="V46" s="108" t="s">
        <v>261</v>
      </c>
      <c r="W46" s="60" t="s">
        <v>262</v>
      </c>
      <c r="X46" s="50"/>
      <c r="Z46" s="101" t="str">
        <f>IFERROR(__xludf.DUMMYFUNCTION("""COMPUTED_VALUE"""),"Visible Light trapping in dye-sensitized solar cell with Vanadium-doped ZnO as back reflector 
 layer")</f>
        <v>Visible Light trapping in dye-sensitized solar cell with Vanadium-doped ZnO as back reflector 
 layer</v>
      </c>
      <c r="AA46" s="99" t="str">
        <f>IFERROR(__xludf.DUMMYFUNCTION("""COMPUTED_VALUE"""),"Published")</f>
        <v>Published</v>
      </c>
      <c r="AB46" s="99"/>
      <c r="AC46" s="102" t="str">
        <f>IFERROR(__xludf.DUMMYFUNCTION("""COMPUTED_VALUE"""),"10.1109/ICRAMET60171.2023.10366603")</f>
        <v>10.1109/ICRAMET60171.2023.10366603</v>
      </c>
      <c r="AD46" s="103"/>
      <c r="AE46" s="103"/>
      <c r="AF46" s="103"/>
      <c r="AG46" s="103"/>
      <c r="AH46" s="103"/>
      <c r="AI46" s="103"/>
      <c r="AJ46" s="103"/>
      <c r="AK46" s="103"/>
      <c r="AL46" s="103"/>
      <c r="AM46" s="103"/>
    </row>
    <row r="47" ht="37.5" customHeight="1">
      <c r="A47" s="46">
        <v>42.0</v>
      </c>
      <c r="B47" s="58">
        <f t="shared" si="1"/>
        <v>45444.59616</v>
      </c>
      <c r="C47" s="30" t="s">
        <v>156</v>
      </c>
      <c r="D47" s="47"/>
      <c r="E47" s="72" t="s">
        <v>263</v>
      </c>
      <c r="F47" s="34" t="s">
        <v>46</v>
      </c>
      <c r="G47" s="34" t="s">
        <v>47</v>
      </c>
      <c r="H47" s="35"/>
      <c r="I47" s="35"/>
      <c r="J47" s="35"/>
      <c r="K47" s="35"/>
      <c r="L47" s="35"/>
      <c r="M47" s="35"/>
      <c r="N47" s="35"/>
      <c r="O47" s="36" t="s">
        <v>264</v>
      </c>
      <c r="P47" s="36" t="s">
        <v>26</v>
      </c>
      <c r="Q47" s="36" t="s">
        <v>27</v>
      </c>
      <c r="R47" s="36" t="s">
        <v>265</v>
      </c>
      <c r="S47" s="36" t="s">
        <v>29</v>
      </c>
      <c r="T47" s="36" t="s">
        <v>43</v>
      </c>
      <c r="U47" s="37" t="s">
        <v>31</v>
      </c>
      <c r="V47" s="59" t="s">
        <v>266</v>
      </c>
      <c r="W47" s="60" t="s">
        <v>267</v>
      </c>
      <c r="X47" s="55"/>
      <c r="Z47" s="101" t="str">
        <f>IFERROR(__xludf.DUMMYFUNCTION("""COMPUTED_VALUE"""),"The effect of dineohexyl phosphinic acid on the photovoltaic performance of dye sensitized 
 solar cell based on organic dyes")</f>
        <v>The effect of dineohexyl phosphinic acid on the photovoltaic performance of dye sensitized 
 solar cell based on organic dyes</v>
      </c>
      <c r="AA47" s="99" t="str">
        <f>IFERROR(__xludf.DUMMYFUNCTION("""COMPUTED_VALUE"""),"Published")</f>
        <v>Published</v>
      </c>
      <c r="AB47" s="99"/>
      <c r="AC47" s="102" t="str">
        <f>IFERROR(__xludf.DUMMYFUNCTION("""COMPUTED_VALUE"""),"10.1109/ICRAMET60171.2023.10366755")</f>
        <v>10.1109/ICRAMET60171.2023.10366755</v>
      </c>
      <c r="AD47" s="103"/>
      <c r="AE47" s="103"/>
      <c r="AF47" s="103"/>
      <c r="AG47" s="103"/>
      <c r="AH47" s="103"/>
      <c r="AI47" s="103"/>
      <c r="AJ47" s="103"/>
      <c r="AK47" s="103"/>
      <c r="AL47" s="103"/>
      <c r="AM47" s="103"/>
    </row>
    <row r="48" ht="37.5" customHeight="1">
      <c r="A48" s="46">
        <v>43.0</v>
      </c>
      <c r="B48" s="58">
        <f t="shared" si="1"/>
        <v>45444.61672</v>
      </c>
      <c r="C48" s="81"/>
      <c r="D48" s="47"/>
      <c r="E48" s="72" t="s">
        <v>268</v>
      </c>
      <c r="F48" s="34" t="s">
        <v>34</v>
      </c>
      <c r="G48" s="34" t="s">
        <v>36</v>
      </c>
      <c r="H48" s="36" t="s">
        <v>119</v>
      </c>
      <c r="I48" s="36" t="s">
        <v>88</v>
      </c>
      <c r="J48" s="36" t="s">
        <v>269</v>
      </c>
      <c r="K48" s="35"/>
      <c r="L48" s="35"/>
      <c r="M48" s="35"/>
      <c r="N48" s="35"/>
      <c r="O48" s="36" t="s">
        <v>270</v>
      </c>
      <c r="P48" s="36" t="s">
        <v>26</v>
      </c>
      <c r="Q48" s="36" t="s">
        <v>271</v>
      </c>
      <c r="R48" s="36" t="s">
        <v>272</v>
      </c>
      <c r="S48" s="36" t="s">
        <v>29</v>
      </c>
      <c r="T48" s="36" t="s">
        <v>61</v>
      </c>
      <c r="U48" s="37" t="s">
        <v>31</v>
      </c>
      <c r="V48" s="59" t="s">
        <v>273</v>
      </c>
      <c r="W48" s="109" t="s">
        <v>274</v>
      </c>
      <c r="X48" s="57"/>
      <c r="Z48" s="51" t="str">
        <f>IFERROR(__xludf.DUMMYFUNCTION("""COMPUTED_VALUE"""),"Investigation of Different Temperature Measurement Configurations for the Thermal Efficiency Estimation of Liquefied Petroleum Gas Stoves")</f>
        <v>Investigation of Different Temperature Measurement Configurations for the Thermal Efficiency Estimation of Liquefied Petroleum Gas Stoves</v>
      </c>
      <c r="AA48" s="99" t="str">
        <f>IFERROR(__xludf.DUMMYFUNCTION("""COMPUTED_VALUE"""),"Published")</f>
        <v>Published</v>
      </c>
      <c r="AB48" s="99"/>
      <c r="AC48" s="102" t="str">
        <f>IFERROR(__xludf.DUMMYFUNCTION("""COMPUTED_VALUE"""),"https://doi.org/10.5109/7151713")</f>
        <v>https://doi.org/10.5109/7151713</v>
      </c>
      <c r="AD48" s="103"/>
      <c r="AE48" s="103"/>
      <c r="AF48" s="103"/>
      <c r="AG48" s="103"/>
      <c r="AH48" s="103"/>
      <c r="AI48" s="103"/>
      <c r="AJ48" s="103"/>
      <c r="AK48" s="103"/>
      <c r="AL48" s="103"/>
      <c r="AM48" s="103"/>
    </row>
    <row r="49" ht="37.5" customHeight="1">
      <c r="A49" s="46">
        <v>44.0</v>
      </c>
      <c r="B49" s="58">
        <f t="shared" si="1"/>
        <v>45444.63057</v>
      </c>
      <c r="C49" s="81"/>
      <c r="D49" s="47"/>
      <c r="E49" s="72" t="s">
        <v>275</v>
      </c>
      <c r="F49" s="34" t="s">
        <v>34</v>
      </c>
      <c r="G49" s="34" t="s">
        <v>36</v>
      </c>
      <c r="H49" s="36" t="s">
        <v>35</v>
      </c>
      <c r="I49" s="36" t="s">
        <v>37</v>
      </c>
      <c r="J49" s="35"/>
      <c r="K49" s="35"/>
      <c r="L49" s="35"/>
      <c r="M49" s="35"/>
      <c r="N49" s="35"/>
      <c r="O49" s="36" t="s">
        <v>276</v>
      </c>
      <c r="P49" s="36" t="s">
        <v>26</v>
      </c>
      <c r="Q49" s="36" t="s">
        <v>127</v>
      </c>
      <c r="R49" s="36" t="s">
        <v>277</v>
      </c>
      <c r="S49" s="36" t="s">
        <v>29</v>
      </c>
      <c r="T49" s="36" t="s">
        <v>30</v>
      </c>
      <c r="U49" s="37" t="s">
        <v>31</v>
      </c>
      <c r="V49" s="35"/>
      <c r="W49" s="69"/>
      <c r="X49" s="57"/>
      <c r="Z49" s="51" t="str">
        <f>IFERROR(__xludf.DUMMYFUNCTION("""COMPUTED_VALUE"""),"The Effect of Upper and Lower Limit Pressure on the Energy Performance of Liquefied Petroleum Gas Stove")</f>
        <v>The Effect of Upper and Lower Limit Pressure on the Energy Performance of Liquefied Petroleum Gas Stove</v>
      </c>
      <c r="AA49" s="99" t="str">
        <f>IFERROR(__xludf.DUMMYFUNCTION("""COMPUTED_VALUE"""),"Published")</f>
        <v>Published</v>
      </c>
      <c r="AB49" s="99"/>
      <c r="AC49" s="102" t="str">
        <f>IFERROR(__xludf.DUMMYFUNCTION("""COMPUTED_VALUE"""),"https://doi.org/10.5109/7151722")</f>
        <v>https://doi.org/10.5109/7151722</v>
      </c>
      <c r="AD49" s="103"/>
      <c r="AE49" s="103"/>
      <c r="AF49" s="103"/>
      <c r="AG49" s="103"/>
      <c r="AH49" s="103"/>
      <c r="AI49" s="103"/>
      <c r="AJ49" s="103"/>
      <c r="AK49" s="103"/>
      <c r="AL49" s="103"/>
      <c r="AM49" s="103"/>
    </row>
    <row r="50" ht="37.5" customHeight="1">
      <c r="A50" s="46">
        <v>45.0</v>
      </c>
      <c r="B50" s="58">
        <f t="shared" si="1"/>
        <v>45444.63106</v>
      </c>
      <c r="C50" s="81"/>
      <c r="D50" s="47"/>
      <c r="E50" s="72" t="s">
        <v>278</v>
      </c>
      <c r="F50" s="34" t="s">
        <v>34</v>
      </c>
      <c r="G50" s="34" t="s">
        <v>36</v>
      </c>
      <c r="H50" s="36" t="s">
        <v>279</v>
      </c>
      <c r="I50" s="36" t="s">
        <v>38</v>
      </c>
      <c r="J50" s="36" t="s">
        <v>269</v>
      </c>
      <c r="K50" s="35"/>
      <c r="L50" s="35"/>
      <c r="M50" s="35"/>
      <c r="N50" s="35"/>
      <c r="O50" s="36" t="s">
        <v>280</v>
      </c>
      <c r="P50" s="36" t="s">
        <v>26</v>
      </c>
      <c r="Q50" s="36" t="s">
        <v>215</v>
      </c>
      <c r="R50" s="35"/>
      <c r="S50" s="36" t="s">
        <v>29</v>
      </c>
      <c r="T50" s="35"/>
      <c r="U50" s="37" t="s">
        <v>31</v>
      </c>
      <c r="V50" s="35"/>
      <c r="W50" s="69"/>
      <c r="X50" s="57"/>
      <c r="Z50" s="71" t="str">
        <f>IFERROR(__xludf.DUMMYFUNCTION("""COMPUTED_VALUE"""),"The Use of Tragacanth as a Gelling Agent in Roselle Flower Extract based Radiochromic Indicators")</f>
        <v>The Use of Tragacanth as a Gelling Agent in Roselle Flower Extract based Radiochromic Indicators</v>
      </c>
      <c r="AA50" s="110" t="str">
        <f>IFERROR(__xludf.DUMMYFUNCTION("""COMPUTED_VALUE"""),"Published")</f>
        <v>Published</v>
      </c>
      <c r="AB50" s="99"/>
      <c r="AC50" s="102" t="str">
        <f>IFERROR(__xludf.DUMMYFUNCTION("""COMPUTED_VALUE"""),"https://doi.org/10.18517/ijaseit.13.5.18750")</f>
        <v>https://doi.org/10.18517/ijaseit.13.5.18750</v>
      </c>
      <c r="AD50" s="103"/>
      <c r="AE50" s="103"/>
      <c r="AF50" s="103"/>
      <c r="AG50" s="103"/>
      <c r="AH50" s="103"/>
      <c r="AI50" s="103"/>
      <c r="AJ50" s="103"/>
      <c r="AK50" s="103"/>
      <c r="AL50" s="103"/>
      <c r="AM50" s="103"/>
    </row>
    <row r="51" ht="37.5" customHeight="1">
      <c r="A51" s="46">
        <v>46.0</v>
      </c>
      <c r="B51" s="58">
        <f t="shared" si="1"/>
        <v>45444.70504</v>
      </c>
      <c r="C51" s="81"/>
      <c r="D51" s="47"/>
      <c r="E51" s="72" t="s">
        <v>281</v>
      </c>
      <c r="F51" s="34" t="s">
        <v>23</v>
      </c>
      <c r="G51" s="34" t="s">
        <v>282</v>
      </c>
      <c r="H51" s="35"/>
      <c r="I51" s="35"/>
      <c r="J51" s="35"/>
      <c r="K51" s="35"/>
      <c r="L51" s="35"/>
      <c r="M51" s="35"/>
      <c r="N51" s="35"/>
      <c r="O51" s="36" t="s">
        <v>283</v>
      </c>
      <c r="P51" s="36" t="s">
        <v>83</v>
      </c>
      <c r="Q51" s="36" t="s">
        <v>27</v>
      </c>
      <c r="R51" s="36" t="s">
        <v>284</v>
      </c>
      <c r="S51" s="36" t="s">
        <v>29</v>
      </c>
      <c r="T51" s="35"/>
      <c r="U51" s="37" t="s">
        <v>31</v>
      </c>
      <c r="V51" s="63" t="s">
        <v>285</v>
      </c>
      <c r="W51" s="69"/>
      <c r="X51" s="111"/>
      <c r="Z51" s="51" t="str">
        <f>IFERROR(__xludf.DUMMYFUNCTION("""COMPUTED_VALUE"""),"Design and Characterization of Ultrasonic Langevin Transducer 20 kHz Using a Stepped Horn Front-Mass")</f>
        <v>Design and Characterization of Ultrasonic Langevin Transducer 20 kHz Using a Stepped Horn Front-Mass</v>
      </c>
      <c r="AA51" s="51" t="str">
        <f>IFERROR(__xludf.DUMMYFUNCTION("""COMPUTED_VALUE"""),"Published")</f>
        <v>Published</v>
      </c>
      <c r="AB51" s="56"/>
      <c r="AC51" s="44" t="str">
        <f>IFERROR(__xludf.DUMMYFUNCTION("""COMPUTED_VALUE"""),"https://doi.org/10.5614/j.eng.technol.sci.2023.55.4.1")</f>
        <v>https://doi.org/10.5614/j.eng.technol.sci.2023.55.4.1</v>
      </c>
      <c r="AD51" s="45"/>
      <c r="AE51" s="45"/>
      <c r="AF51" s="45"/>
      <c r="AG51" s="45"/>
      <c r="AH51" s="45"/>
      <c r="AI51" s="45"/>
      <c r="AJ51" s="45"/>
      <c r="AK51" s="45"/>
      <c r="AL51" s="45"/>
      <c r="AM51" s="45"/>
    </row>
    <row r="52" ht="37.5" customHeight="1">
      <c r="A52" s="46">
        <v>47.0</v>
      </c>
      <c r="B52" s="58">
        <f t="shared" si="1"/>
        <v>45444.70841</v>
      </c>
      <c r="C52" s="81"/>
      <c r="D52" s="47"/>
      <c r="E52" s="72" t="s">
        <v>286</v>
      </c>
      <c r="F52" s="34" t="s">
        <v>23</v>
      </c>
      <c r="G52" s="34" t="s">
        <v>282</v>
      </c>
      <c r="H52" s="35"/>
      <c r="I52" s="35"/>
      <c r="J52" s="35"/>
      <c r="K52" s="35"/>
      <c r="L52" s="35"/>
      <c r="M52" s="35"/>
      <c r="N52" s="35"/>
      <c r="O52" s="36" t="s">
        <v>283</v>
      </c>
      <c r="P52" s="36" t="s">
        <v>26</v>
      </c>
      <c r="Q52" s="36" t="s">
        <v>271</v>
      </c>
      <c r="R52" s="36" t="s">
        <v>287</v>
      </c>
      <c r="S52" s="36" t="s">
        <v>29</v>
      </c>
      <c r="T52" s="36" t="s">
        <v>43</v>
      </c>
      <c r="U52" s="37" t="s">
        <v>31</v>
      </c>
      <c r="V52" s="59" t="s">
        <v>288</v>
      </c>
      <c r="W52" s="69"/>
      <c r="X52" s="57"/>
      <c r="Z52" s="51" t="str">
        <f>IFERROR(__xludf.DUMMYFUNCTION("""COMPUTED_VALUE"""),"The Effect of Perovskite Layer Thickness on Photo-capacitor Device for Retinomorphic Sensor Application")</f>
        <v>The Effect of Perovskite Layer Thickness on Photo-capacitor Device for Retinomorphic Sensor Application</v>
      </c>
      <c r="AA52" s="51" t="str">
        <f>IFERROR(__xludf.DUMMYFUNCTION("""COMPUTED_VALUE"""),"Published")</f>
        <v>Published</v>
      </c>
      <c r="AB52" s="56"/>
      <c r="AC52" s="44" t="str">
        <f>IFERROR(__xludf.DUMMYFUNCTION("""COMPUTED_VALUE"""),"10.1109/ICRAMET60171.2023.10366591")</f>
        <v>10.1109/ICRAMET60171.2023.10366591</v>
      </c>
      <c r="AD52" s="45"/>
      <c r="AE52" s="45"/>
      <c r="AF52" s="45"/>
      <c r="AG52" s="45"/>
      <c r="AH52" s="45"/>
      <c r="AI52" s="45"/>
      <c r="AJ52" s="45"/>
      <c r="AK52" s="45"/>
      <c r="AL52" s="45"/>
      <c r="AM52" s="45"/>
    </row>
    <row r="53" ht="37.5" customHeight="1">
      <c r="A53" s="46">
        <v>48.0</v>
      </c>
      <c r="B53" s="58">
        <f t="shared" si="1"/>
        <v>45444.7264</v>
      </c>
      <c r="C53" s="81"/>
      <c r="D53" s="47"/>
      <c r="E53" s="72" t="s">
        <v>289</v>
      </c>
      <c r="F53" s="34" t="s">
        <v>46</v>
      </c>
      <c r="G53" s="34" t="s">
        <v>279</v>
      </c>
      <c r="H53" s="35"/>
      <c r="I53" s="35"/>
      <c r="J53" s="35"/>
      <c r="K53" s="35"/>
      <c r="L53" s="35"/>
      <c r="M53" s="35"/>
      <c r="N53" s="35"/>
      <c r="O53" s="36" t="s">
        <v>290</v>
      </c>
      <c r="P53" s="36" t="s">
        <v>26</v>
      </c>
      <c r="Q53" s="36" t="s">
        <v>127</v>
      </c>
      <c r="R53" s="36" t="s">
        <v>291</v>
      </c>
      <c r="S53" s="36" t="s">
        <v>29</v>
      </c>
      <c r="T53" s="36" t="s">
        <v>30</v>
      </c>
      <c r="U53" s="37" t="s">
        <v>31</v>
      </c>
      <c r="V53" s="35"/>
      <c r="W53" s="69"/>
      <c r="X53" s="57"/>
      <c r="Z53" s="51" t="str">
        <f>IFERROR(__xludf.DUMMYFUNCTION("""COMPUTED_VALUE"""),"Development of Controllable LED Light Source for Retinomorphic Sensor Measurement Test")</f>
        <v>Development of Controllable LED Light Source for Retinomorphic Sensor Measurement Test</v>
      </c>
      <c r="AA53" s="99" t="str">
        <f>IFERROR(__xludf.DUMMYFUNCTION("""COMPUTED_VALUE"""),"Published")</f>
        <v>Published</v>
      </c>
      <c r="AB53" s="99"/>
      <c r="AC53" s="102" t="str">
        <f>IFERROR(__xludf.DUMMYFUNCTION("""COMPUTED_VALUE"""),"10.1109/ICRAMET60171.2023.10366655")</f>
        <v>10.1109/ICRAMET60171.2023.10366655</v>
      </c>
      <c r="AD53" s="103"/>
      <c r="AE53" s="103"/>
      <c r="AF53" s="103"/>
      <c r="AG53" s="103"/>
      <c r="AH53" s="103"/>
      <c r="AI53" s="103"/>
      <c r="AJ53" s="103"/>
      <c r="AK53" s="103"/>
      <c r="AL53" s="103"/>
      <c r="AM53" s="103"/>
    </row>
    <row r="54" ht="37.5" customHeight="1">
      <c r="A54" s="46">
        <v>49.0</v>
      </c>
      <c r="B54" s="58">
        <f t="shared" si="1"/>
        <v>45445.61602</v>
      </c>
      <c r="C54" s="30"/>
      <c r="D54" s="47"/>
      <c r="E54" s="112" t="s">
        <v>292</v>
      </c>
      <c r="F54" s="34" t="s">
        <v>34</v>
      </c>
      <c r="G54" s="34" t="s">
        <v>38</v>
      </c>
      <c r="H54" s="35"/>
      <c r="I54" s="35"/>
      <c r="J54" s="35"/>
      <c r="K54" s="35"/>
      <c r="L54" s="35"/>
      <c r="M54" s="35"/>
      <c r="N54" s="35"/>
      <c r="O54" s="36" t="s">
        <v>293</v>
      </c>
      <c r="P54" s="36" t="s">
        <v>26</v>
      </c>
      <c r="Q54" s="36" t="s">
        <v>27</v>
      </c>
      <c r="R54" s="36" t="s">
        <v>294</v>
      </c>
      <c r="S54" s="36" t="s">
        <v>29</v>
      </c>
      <c r="T54" s="36" t="s">
        <v>85</v>
      </c>
      <c r="U54" s="37" t="s">
        <v>31</v>
      </c>
      <c r="V54" s="59" t="s">
        <v>295</v>
      </c>
      <c r="W54" s="60" t="s">
        <v>296</v>
      </c>
      <c r="X54" s="55" t="s">
        <v>297</v>
      </c>
      <c r="Z54" s="51" t="str">
        <f>IFERROR(__xludf.DUMMYFUNCTION("""COMPUTED_VALUE"""),"Rational design and recent advancements of additives engineering in tin-based perovskite sollar cell: insights from experiments and computational")</f>
        <v>Rational design and recent advancements of additives engineering in tin-based perovskite sollar cell: insights from experiments and computational</v>
      </c>
      <c r="AA54" s="99" t="str">
        <f>IFERROR(__xludf.DUMMYFUNCTION("""COMPUTED_VALUE"""),"Published")</f>
        <v>Published</v>
      </c>
      <c r="AB54" s="56"/>
      <c r="AC54" s="44" t="str">
        <f>IFERROR(__xludf.DUMMYFUNCTION("""COMPUTED_VALUE"""),"https://doi.org/10.1039/D3SE00571B")</f>
        <v>https://doi.org/10.1039/D3SE00571B</v>
      </c>
      <c r="AD54" s="45"/>
      <c r="AE54" s="45"/>
      <c r="AF54" s="45"/>
      <c r="AG54" s="45"/>
      <c r="AH54" s="45"/>
      <c r="AI54" s="45"/>
      <c r="AJ54" s="45"/>
      <c r="AK54" s="45"/>
      <c r="AL54" s="45"/>
      <c r="AM54" s="45"/>
    </row>
    <row r="55" ht="37.5" customHeight="1">
      <c r="A55" s="46">
        <v>50.0</v>
      </c>
      <c r="B55" s="58">
        <f t="shared" si="1"/>
        <v>45445.61602</v>
      </c>
      <c r="C55" s="30" t="s">
        <v>206</v>
      </c>
      <c r="D55" s="47"/>
      <c r="E55" s="72" t="s">
        <v>298</v>
      </c>
      <c r="F55" s="34" t="s">
        <v>46</v>
      </c>
      <c r="G55" s="34" t="s">
        <v>299</v>
      </c>
      <c r="H55" s="35"/>
      <c r="I55" s="35"/>
      <c r="J55" s="35"/>
      <c r="K55" s="35"/>
      <c r="L55" s="35"/>
      <c r="M55" s="35"/>
      <c r="N55" s="35"/>
      <c r="O55" s="36" t="s">
        <v>300</v>
      </c>
      <c r="P55" s="36" t="s">
        <v>26</v>
      </c>
      <c r="Q55" s="36" t="s">
        <v>27</v>
      </c>
      <c r="R55" s="36" t="s">
        <v>301</v>
      </c>
      <c r="S55" s="36" t="s">
        <v>29</v>
      </c>
      <c r="T55" s="36" t="s">
        <v>30</v>
      </c>
      <c r="U55" s="37" t="s">
        <v>31</v>
      </c>
      <c r="V55" s="39" t="s">
        <v>302</v>
      </c>
      <c r="W55" s="39" t="s">
        <v>303</v>
      </c>
      <c r="X55" s="57"/>
      <c r="Z55" s="51" t="str">
        <f>IFERROR(__xludf.DUMMYFUNCTION("""COMPUTED_VALUE"""),"Implementation of Kalman Filter for Stabilizing Ultrasonic Sensor Reading on Distilled Ethanol Levels Measurement")</f>
        <v>Implementation of Kalman Filter for Stabilizing Ultrasonic Sensor Reading on Distilled Ethanol Levels Measurement</v>
      </c>
      <c r="AA55" s="99" t="str">
        <f>IFERROR(__xludf.DUMMYFUNCTION("""COMPUTED_VALUE"""),"Published")</f>
        <v>Published</v>
      </c>
      <c r="AB55" s="56"/>
      <c r="AC55" s="44" t="str">
        <f>IFERROR(__xludf.DUMMYFUNCTION("""COMPUTED_VALUE"""),"10.1109/ICRAMET60171.2023.10366700")</f>
        <v>10.1109/ICRAMET60171.2023.10366700</v>
      </c>
      <c r="AD55" s="45"/>
      <c r="AE55" s="45"/>
      <c r="AF55" s="45"/>
      <c r="AG55" s="45"/>
      <c r="AH55" s="45"/>
      <c r="AI55" s="45"/>
      <c r="AJ55" s="45"/>
      <c r="AK55" s="45"/>
      <c r="AL55" s="45"/>
      <c r="AM55" s="45"/>
    </row>
    <row r="56" ht="37.5" customHeight="1">
      <c r="A56" s="46">
        <v>51.0</v>
      </c>
      <c r="B56" s="58">
        <f t="shared" si="1"/>
        <v>45445.66362</v>
      </c>
      <c r="C56" s="81"/>
      <c r="D56" s="47"/>
      <c r="E56" s="72" t="s">
        <v>304</v>
      </c>
      <c r="F56" s="34" t="s">
        <v>46</v>
      </c>
      <c r="G56" s="34" t="s">
        <v>299</v>
      </c>
      <c r="H56" s="35"/>
      <c r="I56" s="35"/>
      <c r="J56" s="35"/>
      <c r="K56" s="35"/>
      <c r="L56" s="35"/>
      <c r="M56" s="35"/>
      <c r="N56" s="35"/>
      <c r="O56" s="36" t="s">
        <v>305</v>
      </c>
      <c r="P56" s="36" t="s">
        <v>26</v>
      </c>
      <c r="Q56" s="36" t="s">
        <v>271</v>
      </c>
      <c r="R56" s="36" t="s">
        <v>306</v>
      </c>
      <c r="S56" s="36" t="s">
        <v>29</v>
      </c>
      <c r="T56" s="36" t="s">
        <v>43</v>
      </c>
      <c r="U56" s="37" t="s">
        <v>31</v>
      </c>
      <c r="V56" s="35"/>
      <c r="W56" s="69"/>
      <c r="X56" s="50"/>
      <c r="Z56" s="51" t="str">
        <f>IFERROR(__xludf.DUMMYFUNCTION("""COMPUTED_VALUE"""),"Study on Thick Film Humidity Sensor using PVA-Gelatin-SnO2 Sensing Layer")</f>
        <v>Study on Thick Film Humidity Sensor using PVA-Gelatin-SnO2 Sensing Layer</v>
      </c>
      <c r="AA56" s="99" t="str">
        <f>IFERROR(__xludf.DUMMYFUNCTION("""COMPUTED_VALUE"""),"Published")</f>
        <v>Published</v>
      </c>
      <c r="AB56" s="56"/>
      <c r="AC56" s="44" t="str">
        <f>IFERROR(__xludf.DUMMYFUNCTION("""COMPUTED_VALUE"""),"10.1109/ICRAMET60171.2023.10366696")</f>
        <v>10.1109/ICRAMET60171.2023.10366696</v>
      </c>
      <c r="AD56" s="45"/>
      <c r="AE56" s="45"/>
      <c r="AF56" s="45"/>
      <c r="AG56" s="45"/>
      <c r="AH56" s="45"/>
      <c r="AI56" s="45"/>
      <c r="AJ56" s="45"/>
      <c r="AK56" s="45"/>
      <c r="AL56" s="45"/>
      <c r="AM56" s="45"/>
    </row>
    <row r="57" ht="37.5" customHeight="1">
      <c r="A57" s="46">
        <v>52.0</v>
      </c>
      <c r="B57" s="58">
        <f t="shared" si="1"/>
        <v>45445.96536</v>
      </c>
      <c r="C57" s="81"/>
      <c r="D57" s="47"/>
      <c r="E57" s="72" t="s">
        <v>307</v>
      </c>
      <c r="F57" s="34" t="s">
        <v>108</v>
      </c>
      <c r="G57" s="34" t="s">
        <v>122</v>
      </c>
      <c r="H57" s="36" t="s">
        <v>308</v>
      </c>
      <c r="I57" s="67" t="s">
        <v>309</v>
      </c>
      <c r="J57" s="35"/>
      <c r="K57" s="35"/>
      <c r="L57" s="35"/>
      <c r="M57" s="35"/>
      <c r="N57" s="35"/>
      <c r="O57" s="36" t="s">
        <v>310</v>
      </c>
      <c r="P57" s="36" t="s">
        <v>26</v>
      </c>
      <c r="Q57" s="36" t="s">
        <v>27</v>
      </c>
      <c r="R57" s="36" t="s">
        <v>311</v>
      </c>
      <c r="S57" s="36" t="s">
        <v>29</v>
      </c>
      <c r="T57" s="36" t="s">
        <v>85</v>
      </c>
      <c r="U57" s="37" t="s">
        <v>31</v>
      </c>
      <c r="V57" s="39" t="s">
        <v>312</v>
      </c>
      <c r="W57" s="39" t="s">
        <v>313</v>
      </c>
      <c r="X57" s="50"/>
      <c r="Z57" s="51" t="str">
        <f>IFERROR(__xludf.DUMMYFUNCTION("""COMPUTED_VALUE"""),"Simulation of Circular Patch Unit Cell as a Reflector on F4BMX220 Substrate")</f>
        <v>Simulation of Circular Patch Unit Cell as a Reflector on F4BMX220 Substrate</v>
      </c>
      <c r="AA57" s="99" t="str">
        <f>IFERROR(__xludf.DUMMYFUNCTION("""COMPUTED_VALUE"""),"Published")</f>
        <v>Published</v>
      </c>
      <c r="AB57" s="99"/>
      <c r="AC57" s="102" t="str">
        <f>IFERROR(__xludf.DUMMYFUNCTION("""COMPUTED_VALUE"""),"10.1109/ICRAMET60171.2023.10366758")</f>
        <v>10.1109/ICRAMET60171.2023.10366758</v>
      </c>
      <c r="AD57" s="103"/>
      <c r="AE57" s="103"/>
      <c r="AF57" s="103"/>
      <c r="AG57" s="103"/>
      <c r="AH57" s="103"/>
      <c r="AI57" s="103"/>
      <c r="AJ57" s="103"/>
      <c r="AK57" s="103"/>
      <c r="AL57" s="103"/>
      <c r="AM57" s="103"/>
    </row>
    <row r="58" ht="37.5" customHeight="1">
      <c r="A58" s="46">
        <v>53.0</v>
      </c>
      <c r="B58" s="58">
        <f t="shared" si="1"/>
        <v>45445.97114</v>
      </c>
      <c r="C58" s="81"/>
      <c r="D58" s="47"/>
      <c r="E58" s="72" t="s">
        <v>314</v>
      </c>
      <c r="F58" s="34" t="s">
        <v>34</v>
      </c>
      <c r="G58" s="34" t="s">
        <v>208</v>
      </c>
      <c r="H58" s="35"/>
      <c r="I58" s="35"/>
      <c r="J58" s="35"/>
      <c r="K58" s="35"/>
      <c r="L58" s="35"/>
      <c r="M58" s="35"/>
      <c r="N58" s="35"/>
      <c r="O58" s="36" t="s">
        <v>315</v>
      </c>
      <c r="P58" s="36" t="s">
        <v>26</v>
      </c>
      <c r="Q58" s="36" t="s">
        <v>271</v>
      </c>
      <c r="R58" s="36" t="s">
        <v>316</v>
      </c>
      <c r="S58" s="36" t="s">
        <v>29</v>
      </c>
      <c r="T58" s="36" t="s">
        <v>30</v>
      </c>
      <c r="U58" s="37" t="s">
        <v>31</v>
      </c>
      <c r="V58" s="39" t="s">
        <v>317</v>
      </c>
      <c r="W58" s="69"/>
      <c r="X58" s="57"/>
      <c r="Z58" s="51" t="str">
        <f>IFERROR(__xludf.DUMMYFUNCTION("""COMPUTED_VALUE"""),"Ripeness Classification of Cavendish Bananas using Multi-object Detection Approach”")</f>
        <v>Ripeness Classification of Cavendish Bananas using Multi-object Detection Approach”</v>
      </c>
      <c r="AA58" s="99" t="str">
        <f>IFERROR(__xludf.DUMMYFUNCTION("""COMPUTED_VALUE"""),"Published")</f>
        <v>Published</v>
      </c>
      <c r="AB58" s="113"/>
      <c r="AC58" s="114" t="str">
        <f>IFERROR(__xludf.DUMMYFUNCTION("""COMPUTED_VALUE"""),"10.1109/ICRAMET60171.2023.10366571")</f>
        <v>10.1109/ICRAMET60171.2023.10366571</v>
      </c>
      <c r="AD58" s="115"/>
      <c r="AE58" s="115"/>
      <c r="AF58" s="115"/>
      <c r="AG58" s="115"/>
      <c r="AH58" s="115"/>
      <c r="AI58" s="115"/>
      <c r="AJ58" s="115"/>
      <c r="AK58" s="115"/>
      <c r="AL58" s="115"/>
      <c r="AM58" s="115"/>
    </row>
    <row r="59" ht="37.5" customHeight="1">
      <c r="A59" s="46">
        <v>54.0</v>
      </c>
      <c r="B59" s="58">
        <f t="shared" si="1"/>
        <v>45455.43236</v>
      </c>
      <c r="C59" s="30" t="s">
        <v>206</v>
      </c>
      <c r="D59" s="47"/>
      <c r="E59" s="72" t="s">
        <v>318</v>
      </c>
      <c r="F59" s="34" t="s">
        <v>58</v>
      </c>
      <c r="G59" s="34" t="s">
        <v>319</v>
      </c>
      <c r="H59" s="35"/>
      <c r="I59" s="35"/>
      <c r="J59" s="35"/>
      <c r="K59" s="35"/>
      <c r="L59" s="35"/>
      <c r="M59" s="35"/>
      <c r="N59" s="35"/>
      <c r="O59" s="36" t="s">
        <v>320</v>
      </c>
      <c r="P59" s="36" t="s">
        <v>26</v>
      </c>
      <c r="Q59" s="36" t="s">
        <v>27</v>
      </c>
      <c r="R59" s="116" t="s">
        <v>321</v>
      </c>
      <c r="S59" s="36" t="s">
        <v>29</v>
      </c>
      <c r="T59" s="36" t="s">
        <v>43</v>
      </c>
      <c r="U59" s="37" t="s">
        <v>31</v>
      </c>
      <c r="V59" s="59" t="s">
        <v>322</v>
      </c>
      <c r="W59" s="39" t="s">
        <v>323</v>
      </c>
      <c r="X59" s="50"/>
      <c r="Z59" s="71" t="str">
        <f>IFERROR(__xludf.DUMMYFUNCTION("""COMPUTED_VALUE"""),"Visual Target Locking during Fast Ground Maneuver using Enhanced ORB Predictive Particle Filter")</f>
        <v>Visual Target Locking during Fast Ground Maneuver using Enhanced ORB Predictive Particle Filter</v>
      </c>
      <c r="AA59" s="99" t="str">
        <f>IFERROR(__xludf.DUMMYFUNCTION("""COMPUTED_VALUE"""),"Published")</f>
        <v>Published</v>
      </c>
      <c r="AB59" s="113"/>
      <c r="AC59" s="114" t="str">
        <f>IFERROR(__xludf.DUMMYFUNCTION("""COMPUTED_VALUE"""),"10.1109/ICRAMET60171.2023.10366613")</f>
        <v>10.1109/ICRAMET60171.2023.10366613</v>
      </c>
      <c r="AD59" s="115"/>
      <c r="AE59" s="115"/>
      <c r="AF59" s="115"/>
      <c r="AG59" s="115"/>
      <c r="AH59" s="115"/>
      <c r="AI59" s="115"/>
      <c r="AJ59" s="115"/>
      <c r="AK59" s="115"/>
      <c r="AL59" s="115"/>
      <c r="AM59" s="115"/>
    </row>
    <row r="60" ht="37.5" customHeight="1">
      <c r="A60" s="46">
        <v>55.0</v>
      </c>
      <c r="B60" s="58">
        <f t="shared" si="1"/>
        <v>45457.45975</v>
      </c>
      <c r="C60" s="81"/>
      <c r="D60" s="47"/>
      <c r="E60" s="34" t="s">
        <v>324</v>
      </c>
      <c r="F60" s="34" t="s">
        <v>23</v>
      </c>
      <c r="G60" s="34" t="s">
        <v>70</v>
      </c>
      <c r="H60" s="35"/>
      <c r="I60" s="35"/>
      <c r="J60" s="35"/>
      <c r="K60" s="35"/>
      <c r="L60" s="35"/>
      <c r="M60" s="35"/>
      <c r="N60" s="35"/>
      <c r="O60" s="36" t="s">
        <v>325</v>
      </c>
      <c r="P60" s="36" t="s">
        <v>26</v>
      </c>
      <c r="Q60" s="36" t="s">
        <v>192</v>
      </c>
      <c r="R60" s="34" t="s">
        <v>326</v>
      </c>
      <c r="S60" s="36" t="s">
        <v>29</v>
      </c>
      <c r="T60" s="36" t="s">
        <v>43</v>
      </c>
      <c r="U60" s="37" t="s">
        <v>31</v>
      </c>
      <c r="V60" s="35"/>
      <c r="W60" s="69"/>
      <c r="X60" s="55" t="s">
        <v>327</v>
      </c>
      <c r="Z60" s="51" t="str">
        <f>IFERROR(__xludf.DUMMYFUNCTION("""COMPUTED_VALUE"""),"Precise Temperature Control Strategy for Laboratory-Scale Fermentation Process")</f>
        <v>Precise Temperature Control Strategy for Laboratory-Scale Fermentation Process</v>
      </c>
      <c r="AA60" s="99" t="str">
        <f>IFERROR(__xludf.DUMMYFUNCTION("""COMPUTED_VALUE"""),"Published")</f>
        <v>Published</v>
      </c>
      <c r="AB60" s="56"/>
      <c r="AC60" s="44" t="str">
        <f>IFERROR(__xludf.DUMMYFUNCTION("""COMPUTED_VALUE"""),"10.1109/ICRAMET60171.2023.10366767")</f>
        <v>10.1109/ICRAMET60171.2023.10366767</v>
      </c>
      <c r="AD60" s="45"/>
      <c r="AE60" s="45"/>
      <c r="AF60" s="45"/>
      <c r="AG60" s="45"/>
      <c r="AH60" s="45"/>
      <c r="AI60" s="45"/>
      <c r="AJ60" s="45"/>
      <c r="AK60" s="45"/>
      <c r="AL60" s="45"/>
      <c r="AM60" s="45"/>
    </row>
    <row r="61" ht="37.5" customHeight="1">
      <c r="A61" s="46">
        <v>56.0</v>
      </c>
      <c r="B61" s="58">
        <f t="shared" si="1"/>
        <v>45457.47708</v>
      </c>
      <c r="C61" s="100"/>
      <c r="D61" s="47"/>
      <c r="E61" s="68" t="s">
        <v>328</v>
      </c>
      <c r="F61" s="34" t="s">
        <v>23</v>
      </c>
      <c r="G61" s="34" t="s">
        <v>329</v>
      </c>
      <c r="H61" s="35"/>
      <c r="I61" s="35"/>
      <c r="J61" s="35"/>
      <c r="K61" s="35"/>
      <c r="L61" s="35"/>
      <c r="M61" s="35"/>
      <c r="N61" s="35"/>
      <c r="O61" s="36" t="s">
        <v>330</v>
      </c>
      <c r="P61" s="36" t="s">
        <v>26</v>
      </c>
      <c r="Q61" s="36" t="s">
        <v>27</v>
      </c>
      <c r="R61" s="36" t="s">
        <v>331</v>
      </c>
      <c r="S61" s="36" t="s">
        <v>29</v>
      </c>
      <c r="T61" s="36" t="s">
        <v>30</v>
      </c>
      <c r="U61" s="37" t="s">
        <v>31</v>
      </c>
      <c r="V61" s="117" t="s">
        <v>332</v>
      </c>
      <c r="W61" s="118" t="s">
        <v>333</v>
      </c>
      <c r="X61" s="57"/>
      <c r="Z61" s="51" t="str">
        <f>IFERROR(__xludf.DUMMYFUNCTION("""COMPUTED_VALUE"""),"Hydrometeorological hazard detection and warning for risk reduction in West Java, Indonesia")</f>
        <v>Hydrometeorological hazard detection and warning for risk reduction in West Java, Indonesia</v>
      </c>
      <c r="AA61" s="99" t="str">
        <f>IFERROR(__xludf.DUMMYFUNCTION("""COMPUTED_VALUE"""),"Published")</f>
        <v>Published</v>
      </c>
      <c r="AB61" s="56"/>
      <c r="AC61" s="44" t="str">
        <f>IFERROR(__xludf.DUMMYFUNCTION("""COMPUTED_VALUE"""),"https://iopscience.iop.org/article/10.1088/1755-1315/1192/1/012043")</f>
        <v>https://iopscience.iop.org/article/10.1088/1755-1315/1192/1/012043</v>
      </c>
      <c r="AD61" s="45"/>
      <c r="AE61" s="45"/>
      <c r="AF61" s="45"/>
      <c r="AG61" s="45"/>
      <c r="AH61" s="45"/>
      <c r="AI61" s="45"/>
      <c r="AJ61" s="45"/>
      <c r="AK61" s="45"/>
      <c r="AL61" s="45"/>
      <c r="AM61" s="45"/>
    </row>
    <row r="62" ht="37.5" customHeight="1">
      <c r="A62" s="46">
        <v>57.0</v>
      </c>
      <c r="B62" s="58">
        <f t="shared" si="1"/>
        <v>45457.48392</v>
      </c>
      <c r="C62" s="100"/>
      <c r="D62" s="47"/>
      <c r="E62" s="119" t="s">
        <v>334</v>
      </c>
      <c r="F62" s="34" t="s">
        <v>23</v>
      </c>
      <c r="G62" s="34" t="s">
        <v>67</v>
      </c>
      <c r="H62" s="36" t="s">
        <v>68</v>
      </c>
      <c r="I62" s="36" t="s">
        <v>66</v>
      </c>
      <c r="J62" s="36" t="s">
        <v>65</v>
      </c>
      <c r="K62" s="36" t="s">
        <v>24</v>
      </c>
      <c r="L62" s="36" t="s">
        <v>69</v>
      </c>
      <c r="M62" s="35"/>
      <c r="N62" s="35"/>
      <c r="O62" s="35"/>
      <c r="P62" s="36" t="s">
        <v>26</v>
      </c>
      <c r="Q62" s="36" t="s">
        <v>192</v>
      </c>
      <c r="R62" s="36" t="s">
        <v>335</v>
      </c>
      <c r="S62" s="36" t="s">
        <v>29</v>
      </c>
      <c r="T62" s="36" t="s">
        <v>30</v>
      </c>
      <c r="U62" s="37" t="s">
        <v>31</v>
      </c>
      <c r="V62" s="35"/>
      <c r="W62" s="69"/>
      <c r="X62" s="57"/>
      <c r="Z62" s="51" t="str">
        <f>IFERROR(__xludf.DUMMYFUNCTION("""COMPUTED_VALUE"""),"Detection of Methicillin-Resistant Staphylococcus Aureus using vancomycin
 conjugated silica-based fluorescent nanoprobe")</f>
        <v>Detection of Methicillin-Resistant Staphylococcus Aureus using vancomycin
 conjugated silica-based fluorescent nanoprobe</v>
      </c>
      <c r="AA62" s="99" t="str">
        <f>IFERROR(__xludf.DUMMYFUNCTION("""COMPUTED_VALUE"""),"Published")</f>
        <v>Published</v>
      </c>
      <c r="AB62" s="56"/>
      <c r="AC62" s="44" t="str">
        <f>IFERROR(__xludf.DUMMYFUNCTION("""COMPUTED_VALUE"""),"https://doi.org/10.1016/j.saa.2023.123643")</f>
        <v>https://doi.org/10.1016/j.saa.2023.123643</v>
      </c>
      <c r="AD62" s="45"/>
      <c r="AE62" s="45"/>
      <c r="AF62" s="45"/>
      <c r="AG62" s="45"/>
      <c r="AH62" s="45"/>
      <c r="AI62" s="45"/>
      <c r="AJ62" s="45"/>
      <c r="AK62" s="45"/>
      <c r="AL62" s="45"/>
      <c r="AM62" s="45"/>
    </row>
    <row r="63" ht="37.5" customHeight="1">
      <c r="A63" s="46">
        <v>58.0</v>
      </c>
      <c r="B63" s="58">
        <f t="shared" si="1"/>
        <v>45457.48937</v>
      </c>
      <c r="C63" s="100"/>
      <c r="D63" s="47"/>
      <c r="E63" s="119" t="s">
        <v>336</v>
      </c>
      <c r="F63" s="34" t="s">
        <v>23</v>
      </c>
      <c r="G63" s="34" t="s">
        <v>67</v>
      </c>
      <c r="H63" s="36" t="s">
        <v>68</v>
      </c>
      <c r="I63" s="35"/>
      <c r="J63" s="35"/>
      <c r="K63" s="35"/>
      <c r="L63" s="35"/>
      <c r="M63" s="35"/>
      <c r="N63" s="35"/>
      <c r="O63" s="120" t="s">
        <v>337</v>
      </c>
      <c r="P63" s="36" t="s">
        <v>83</v>
      </c>
      <c r="Q63" s="36" t="s">
        <v>215</v>
      </c>
      <c r="R63" s="36" t="s">
        <v>338</v>
      </c>
      <c r="S63" s="35"/>
      <c r="T63" s="35"/>
      <c r="U63" s="37" t="s">
        <v>31</v>
      </c>
      <c r="V63" s="35"/>
      <c r="W63" s="69"/>
      <c r="X63" s="50"/>
      <c r="Z63" s="51" t="str">
        <f>IFERROR(__xludf.DUMMYFUNCTION("""COMPUTED_VALUE"""),"Oceanic Dynamic Positioning through Hierarchical LQR Algorithm-Driven Advancements for Underactuated Remotely Operated Underwater Vehicles")</f>
        <v>Oceanic Dynamic Positioning through Hierarchical LQR Algorithm-Driven Advancements for Underactuated Remotely Operated Underwater Vehicles</v>
      </c>
      <c r="AA63" s="99" t="str">
        <f>IFERROR(__xludf.DUMMYFUNCTION("""COMPUTED_VALUE"""),"Published")</f>
        <v>Published</v>
      </c>
      <c r="AB63" s="121"/>
      <c r="AC63" s="122" t="str">
        <f>IFERROR(__xludf.DUMMYFUNCTION("""COMPUTED_VALUE"""),"https://doi.org/10.1109/IC3INA60834.2023.10285745")</f>
        <v>https://doi.org/10.1109/IC3INA60834.2023.10285745</v>
      </c>
      <c r="AD63" s="123"/>
      <c r="AE63" s="123"/>
      <c r="AF63" s="123"/>
      <c r="AG63" s="123"/>
      <c r="AH63" s="123"/>
      <c r="AI63" s="123"/>
      <c r="AJ63" s="123"/>
      <c r="AK63" s="123"/>
      <c r="AL63" s="123"/>
      <c r="AM63" s="123"/>
    </row>
    <row r="64" ht="37.5" customHeight="1">
      <c r="A64" s="46">
        <v>59.0</v>
      </c>
      <c r="B64" s="58">
        <f t="shared" si="1"/>
        <v>45457.56053</v>
      </c>
      <c r="C64" s="100"/>
      <c r="D64" s="47"/>
      <c r="E64" s="119" t="s">
        <v>339</v>
      </c>
      <c r="F64" s="34" t="s">
        <v>23</v>
      </c>
      <c r="G64" s="34" t="s">
        <v>68</v>
      </c>
      <c r="H64" s="35"/>
      <c r="I64" s="35"/>
      <c r="J64" s="35"/>
      <c r="K64" s="35"/>
      <c r="L64" s="35"/>
      <c r="M64" s="35"/>
      <c r="N64" s="35"/>
      <c r="O64" s="36" t="s">
        <v>340</v>
      </c>
      <c r="P64" s="36" t="s">
        <v>26</v>
      </c>
      <c r="Q64" s="36" t="s">
        <v>192</v>
      </c>
      <c r="R64" s="36" t="s">
        <v>341</v>
      </c>
      <c r="S64" s="36" t="s">
        <v>29</v>
      </c>
      <c r="T64" s="36" t="s">
        <v>61</v>
      </c>
      <c r="U64" s="37" t="s">
        <v>31</v>
      </c>
      <c r="V64" s="35"/>
      <c r="W64" s="69"/>
      <c r="X64" s="57"/>
      <c r="Z64" s="51" t="str">
        <f>IFERROR(__xludf.DUMMYFUNCTION("""COMPUTED_VALUE"""),"Analytical Study on The Effect of Perovskite Layer Thickness on Photo-capacitor Device for Retinomorphic Sensor Application")</f>
        <v>Analytical Study on The Effect of Perovskite Layer Thickness on Photo-capacitor Device for Retinomorphic Sensor Application</v>
      </c>
      <c r="AA64" s="99" t="str">
        <f>IFERROR(__xludf.DUMMYFUNCTION("""COMPUTED_VALUE"""),"Published")</f>
        <v>Published</v>
      </c>
      <c r="AB64" s="56"/>
      <c r="AC64" s="44" t="str">
        <f>IFERROR(__xludf.DUMMYFUNCTION("""COMPUTED_VALUE"""),"10.1109/ICRAMET60171.2023.10366591")</f>
        <v>10.1109/ICRAMET60171.2023.10366591</v>
      </c>
      <c r="AD64" s="45"/>
      <c r="AE64" s="45"/>
      <c r="AF64" s="45"/>
      <c r="AG64" s="45"/>
      <c r="AH64" s="45"/>
      <c r="AI64" s="45"/>
      <c r="AJ64" s="45"/>
      <c r="AK64" s="45"/>
      <c r="AL64" s="45"/>
      <c r="AM64" s="45"/>
    </row>
    <row r="65" ht="37.5" customHeight="1">
      <c r="A65" s="46">
        <v>60.0</v>
      </c>
      <c r="B65" s="58">
        <f t="shared" si="1"/>
        <v>45457.56185</v>
      </c>
      <c r="C65" s="100"/>
      <c r="D65" s="98"/>
      <c r="E65" s="119" t="s">
        <v>342</v>
      </c>
      <c r="F65" s="34" t="s">
        <v>23</v>
      </c>
      <c r="G65" s="34" t="s">
        <v>68</v>
      </c>
      <c r="H65" s="35"/>
      <c r="I65" s="35"/>
      <c r="J65" s="35"/>
      <c r="K65" s="35"/>
      <c r="L65" s="35"/>
      <c r="M65" s="35"/>
      <c r="N65" s="35"/>
      <c r="O65" s="36" t="s">
        <v>343</v>
      </c>
      <c r="P65" s="36" t="s">
        <v>26</v>
      </c>
      <c r="Q65" s="36" t="s">
        <v>215</v>
      </c>
      <c r="R65" s="124"/>
      <c r="S65" s="35"/>
      <c r="T65" s="35"/>
      <c r="U65" s="37" t="s">
        <v>31</v>
      </c>
      <c r="V65" s="35"/>
      <c r="W65" s="69"/>
      <c r="X65" s="50"/>
      <c r="Z65" s="51" t="str">
        <f>IFERROR(__xludf.DUMMYFUNCTION("""COMPUTED_VALUE"""),"Initial development of real-time video link for UAV")</f>
        <v>Initial development of real-time video link for UAV</v>
      </c>
      <c r="AA65" s="99" t="str">
        <f>IFERROR(__xludf.DUMMYFUNCTION("""COMPUTED_VALUE"""),"Published")</f>
        <v>Published</v>
      </c>
      <c r="AB65" s="56"/>
      <c r="AC65" s="44" t="str">
        <f>IFERROR(__xludf.DUMMYFUNCTION("""COMPUTED_VALUE"""),"https://doi.org/10.1063/5.0181525")</f>
        <v>https://doi.org/10.1063/5.0181525</v>
      </c>
      <c r="AD65" s="45"/>
      <c r="AE65" s="45"/>
      <c r="AF65" s="45"/>
      <c r="AG65" s="45"/>
      <c r="AH65" s="45"/>
      <c r="AI65" s="45"/>
      <c r="AJ65" s="45"/>
      <c r="AK65" s="45"/>
      <c r="AL65" s="45"/>
      <c r="AM65" s="45"/>
    </row>
    <row r="66" ht="37.5" customHeight="1">
      <c r="A66" s="46">
        <v>61.0</v>
      </c>
      <c r="B66" s="58">
        <f t="shared" si="1"/>
        <v>45457.59095</v>
      </c>
      <c r="C66" s="100"/>
      <c r="D66" s="47"/>
      <c r="E66" s="68" t="s">
        <v>344</v>
      </c>
      <c r="F66" s="34" t="s">
        <v>23</v>
      </c>
      <c r="G66" s="34" t="s">
        <v>65</v>
      </c>
      <c r="H66" s="35"/>
      <c r="I66" s="35"/>
      <c r="J66" s="35"/>
      <c r="K66" s="35"/>
      <c r="L66" s="35"/>
      <c r="M66" s="35"/>
      <c r="N66" s="35"/>
      <c r="O66" s="36" t="s">
        <v>345</v>
      </c>
      <c r="P66" s="36" t="s">
        <v>26</v>
      </c>
      <c r="Q66" s="36" t="s">
        <v>192</v>
      </c>
      <c r="R66" s="36" t="s">
        <v>346</v>
      </c>
      <c r="S66" s="36" t="s">
        <v>29</v>
      </c>
      <c r="T66" s="36" t="s">
        <v>30</v>
      </c>
      <c r="U66" s="37" t="s">
        <v>31</v>
      </c>
      <c r="V66" s="35"/>
      <c r="W66" s="125"/>
      <c r="X66" s="57"/>
      <c r="Z66" s="51" t="str">
        <f>IFERROR(__xludf.DUMMYFUNCTION("""COMPUTED_VALUE"""),"Performance Analysis of LoRaWAN Node to LoRaWAN Infrastructure for Environmental 
 Monitoring in Sub-Urban Area")</f>
        <v>Performance Analysis of LoRaWAN Node to LoRaWAN Infrastructure for Environmental 
 Monitoring in Sub-Urban Area</v>
      </c>
      <c r="AA66" s="99" t="str">
        <f>IFERROR(__xludf.DUMMYFUNCTION("""COMPUTED_VALUE"""),"Published")</f>
        <v>Published</v>
      </c>
      <c r="AB66" s="56"/>
      <c r="AC66" s="44" t="str">
        <f>IFERROR(__xludf.DUMMYFUNCTION("""COMPUTED_VALUE"""),"10.1109/ICRAMET60171.2023.10366734")</f>
        <v>10.1109/ICRAMET60171.2023.10366734</v>
      </c>
      <c r="AD66" s="45"/>
      <c r="AE66" s="45"/>
      <c r="AF66" s="45"/>
      <c r="AG66" s="45"/>
      <c r="AH66" s="45"/>
      <c r="AI66" s="45"/>
      <c r="AJ66" s="45"/>
      <c r="AK66" s="45"/>
      <c r="AL66" s="45"/>
      <c r="AM66" s="45"/>
    </row>
    <row r="67" ht="37.5" customHeight="1">
      <c r="A67" s="46">
        <v>62.0</v>
      </c>
      <c r="B67" s="58">
        <f t="shared" si="1"/>
        <v>45457.69094</v>
      </c>
      <c r="C67" s="100"/>
      <c r="D67" s="47"/>
      <c r="E67" s="126" t="s">
        <v>347</v>
      </c>
      <c r="F67" s="34" t="s">
        <v>23</v>
      </c>
      <c r="G67" s="34" t="s">
        <v>348</v>
      </c>
      <c r="H67" s="35"/>
      <c r="I67" s="35"/>
      <c r="J67" s="35"/>
      <c r="K67" s="35"/>
      <c r="L67" s="35"/>
      <c r="M67" s="35"/>
      <c r="N67" s="35"/>
      <c r="O67" s="36" t="s">
        <v>349</v>
      </c>
      <c r="P67" s="36" t="s">
        <v>26</v>
      </c>
      <c r="Q67" s="36" t="s">
        <v>192</v>
      </c>
      <c r="R67" s="36" t="s">
        <v>350</v>
      </c>
      <c r="S67" s="36" t="s">
        <v>29</v>
      </c>
      <c r="T67" s="36" t="s">
        <v>30</v>
      </c>
      <c r="U67" s="37" t="s">
        <v>31</v>
      </c>
      <c r="V67" s="35"/>
      <c r="W67" s="69"/>
      <c r="X67" s="57"/>
      <c r="Z67" s="51" t="str">
        <f>IFERROR(__xludf.DUMMYFUNCTION("""COMPUTED_VALUE"""),"Coarse-Grained Molecular Dynamics-guided immunoinformatics to explain the binder and nonbinder classification of cytotoxic T-cell epitope for SARS-CoV-2 peptide-based vaccine discovery")</f>
        <v>Coarse-Grained Molecular Dynamics-guided immunoinformatics to explain the binder and nonbinder classification of cytotoxic T-cell epitope for SARS-CoV-2 peptide-based vaccine discovery</v>
      </c>
      <c r="AA67" s="99" t="str">
        <f>IFERROR(__xludf.DUMMYFUNCTION("""COMPUTED_VALUE"""),"Published")</f>
        <v>Published</v>
      </c>
      <c r="AB67" s="56"/>
      <c r="AC67" s="44" t="str">
        <f>IFERROR(__xludf.DUMMYFUNCTION("""COMPUTED_VALUE"""),"https://doi.org/10.1371/journal.pone.0292156")</f>
        <v>https://doi.org/10.1371/journal.pone.0292156</v>
      </c>
      <c r="AD67" s="45"/>
      <c r="AE67" s="45"/>
      <c r="AF67" s="45"/>
      <c r="AG67" s="45"/>
      <c r="AH67" s="45"/>
      <c r="AI67" s="45"/>
      <c r="AJ67" s="45"/>
      <c r="AK67" s="45"/>
      <c r="AL67" s="45"/>
      <c r="AM67" s="45"/>
    </row>
    <row r="68" ht="37.5" customHeight="1">
      <c r="A68" s="46">
        <v>63.0</v>
      </c>
      <c r="B68" s="58">
        <f t="shared" si="1"/>
        <v>45462.40907</v>
      </c>
      <c r="C68" s="78"/>
      <c r="D68" s="47"/>
      <c r="E68" s="127" t="s">
        <v>351</v>
      </c>
      <c r="F68" s="34" t="s">
        <v>23</v>
      </c>
      <c r="G68" s="34" t="s">
        <v>190</v>
      </c>
      <c r="H68" s="35"/>
      <c r="I68" s="35"/>
      <c r="J68" s="35"/>
      <c r="K68" s="35"/>
      <c r="L68" s="35"/>
      <c r="M68" s="35"/>
      <c r="N68" s="35"/>
      <c r="O68" s="35"/>
      <c r="P68" s="36" t="s">
        <v>26</v>
      </c>
      <c r="Q68" s="36" t="s">
        <v>215</v>
      </c>
      <c r="R68" s="35"/>
      <c r="S68" s="35"/>
      <c r="T68" s="35"/>
      <c r="U68" s="37" t="s">
        <v>31</v>
      </c>
      <c r="V68" s="35"/>
      <c r="W68" s="69"/>
      <c r="X68" s="57"/>
      <c r="Z68" s="51" t="str">
        <f>IFERROR(__xludf.DUMMYFUNCTION("""COMPUTED_VALUE"""),"Surface Plasmon Resonance Biosensor Chip Integrated with MoS2-MoO3 Hybrid Microflowers for Rapid CFP-10 Tuberculosis Detection")</f>
        <v>Surface Plasmon Resonance Biosensor Chip Integrated with MoS2-MoO3 Hybrid Microflowers for Rapid CFP-10 Tuberculosis Detection</v>
      </c>
      <c r="AA68" s="99" t="str">
        <f>IFERROR(__xludf.DUMMYFUNCTION("""COMPUTED_VALUE"""),"Published")</f>
        <v>Published</v>
      </c>
      <c r="AB68" s="56"/>
      <c r="AC68" s="45" t="str">
        <f>IFERROR(__xludf.DUMMYFUNCTION("""COMPUTED_VALUE"""),"DOI : 10.1039/d3tb01327h")</f>
        <v>DOI : 10.1039/d3tb01327h</v>
      </c>
      <c r="AD68" s="45"/>
      <c r="AE68" s="45"/>
      <c r="AF68" s="45"/>
      <c r="AG68" s="45"/>
      <c r="AH68" s="45"/>
      <c r="AI68" s="45"/>
      <c r="AJ68" s="45"/>
      <c r="AK68" s="45"/>
      <c r="AL68" s="45"/>
      <c r="AM68" s="45"/>
    </row>
    <row r="69" ht="37.5" customHeight="1">
      <c r="A69" s="46">
        <v>64.0</v>
      </c>
      <c r="B69" s="58">
        <f t="shared" si="1"/>
        <v>45462.40907</v>
      </c>
      <c r="C69" s="78"/>
      <c r="D69" s="47"/>
      <c r="E69" s="68" t="s">
        <v>352</v>
      </c>
      <c r="F69" s="34" t="s">
        <v>23</v>
      </c>
      <c r="G69" s="34" t="s">
        <v>66</v>
      </c>
      <c r="H69" s="36" t="s">
        <v>65</v>
      </c>
      <c r="I69" s="35"/>
      <c r="J69" s="35"/>
      <c r="K69" s="35"/>
      <c r="L69" s="35"/>
      <c r="M69" s="35"/>
      <c r="N69" s="35"/>
      <c r="O69" s="35"/>
      <c r="P69" s="35"/>
      <c r="Q69" s="35"/>
      <c r="R69" s="35"/>
      <c r="S69" s="35"/>
      <c r="T69" s="35"/>
      <c r="U69" s="37" t="s">
        <v>31</v>
      </c>
      <c r="V69" s="35"/>
      <c r="W69" s="69"/>
      <c r="X69" s="57"/>
      <c r="Z69" s="51" t="str">
        <f>IFERROR(__xludf.DUMMYFUNCTION("""COMPUTED_VALUE"""),"Hierarchical Bimetallic Metal-Organic Frameworks with Controllable Assembling Sub-Units and Interior Architectures for Enhanced Ammonia Detection")</f>
        <v>Hierarchical Bimetallic Metal-Organic Frameworks with Controllable Assembling Sub-Units and Interior Architectures for Enhanced Ammonia Detection</v>
      </c>
      <c r="AA69" s="99" t="str">
        <f>IFERROR(__xludf.DUMMYFUNCTION("""COMPUTED_VALUE"""),"Published")</f>
        <v>Published</v>
      </c>
      <c r="AB69" s="56"/>
      <c r="AC69" s="44" t="str">
        <f>IFERROR(__xludf.DUMMYFUNCTION("""COMPUTED_VALUE"""),"https://doi.org/10.1016/j.cej.2023.147990")</f>
        <v>https://doi.org/10.1016/j.cej.2023.147990</v>
      </c>
      <c r="AD69" s="45"/>
      <c r="AE69" s="45"/>
      <c r="AF69" s="45"/>
      <c r="AG69" s="45"/>
      <c r="AH69" s="45"/>
      <c r="AI69" s="45"/>
      <c r="AJ69" s="45"/>
      <c r="AK69" s="45"/>
      <c r="AL69" s="45"/>
      <c r="AM69" s="45"/>
    </row>
    <row r="70" ht="37.5" customHeight="1">
      <c r="A70" s="46">
        <v>65.0</v>
      </c>
      <c r="B70" s="58">
        <f t="shared" si="1"/>
        <v>45462.4213</v>
      </c>
      <c r="C70" s="81"/>
      <c r="D70" s="47"/>
      <c r="E70" s="68" t="s">
        <v>353</v>
      </c>
      <c r="F70" s="34" t="s">
        <v>108</v>
      </c>
      <c r="G70" s="34" t="s">
        <v>308</v>
      </c>
      <c r="H70" s="35"/>
      <c r="I70" s="35"/>
      <c r="J70" s="35"/>
      <c r="K70" s="35"/>
      <c r="L70" s="35"/>
      <c r="M70" s="35"/>
      <c r="N70" s="35"/>
      <c r="O70" s="36" t="s">
        <v>354</v>
      </c>
      <c r="P70" s="36" t="s">
        <v>83</v>
      </c>
      <c r="Q70" s="36" t="s">
        <v>271</v>
      </c>
      <c r="R70" s="36" t="s">
        <v>355</v>
      </c>
      <c r="S70" s="35"/>
      <c r="T70" s="35"/>
      <c r="U70" s="37" t="s">
        <v>31</v>
      </c>
      <c r="V70" s="35"/>
      <c r="W70" s="69"/>
      <c r="X70" s="57"/>
      <c r="Z70" s="51" t="str">
        <f>IFERROR(__xludf.DUMMYFUNCTION("""COMPUTED_VALUE"""),"The effect of geological characteristics and earthquakes on  natural slope stability analysis in landslide modeling using  static and pseudostatic methods in Cianjur Area, West  Bandung, Indonesia")</f>
        <v>The effect of geological characteristics and earthquakes on  natural slope stability analysis in landslide modeling using  static and pseudostatic methods in Cianjur Area, West  Bandung, Indonesia</v>
      </c>
      <c r="AA70" s="99" t="str">
        <f>IFERROR(__xludf.DUMMYFUNCTION("""COMPUTED_VALUE"""),"Published")</f>
        <v>Published</v>
      </c>
      <c r="AB70" s="128"/>
      <c r="AC70" s="129" t="str">
        <f>IFERROR(__xludf.DUMMYFUNCTION("""COMPUTED_VALUE"""),"https://doi.org/10.1051/e3sconf/202346401015")</f>
        <v>https://doi.org/10.1051/e3sconf/202346401015</v>
      </c>
      <c r="AD70" s="130"/>
      <c r="AE70" s="130"/>
      <c r="AF70" s="130"/>
      <c r="AG70" s="130"/>
      <c r="AH70" s="130"/>
      <c r="AI70" s="130"/>
      <c r="AJ70" s="130"/>
      <c r="AK70" s="130"/>
      <c r="AL70" s="130"/>
      <c r="AM70" s="130"/>
    </row>
    <row r="71" ht="37.5" customHeight="1">
      <c r="A71" s="131">
        <v>66.0</v>
      </c>
      <c r="B71" s="58">
        <f t="shared" si="1"/>
        <v>45469.56969</v>
      </c>
      <c r="C71" s="132" t="s">
        <v>156</v>
      </c>
      <c r="D71" s="47"/>
      <c r="E71" s="68" t="s">
        <v>356</v>
      </c>
      <c r="F71" s="34" t="s">
        <v>46</v>
      </c>
      <c r="G71" s="34" t="s">
        <v>177</v>
      </c>
      <c r="H71" s="35"/>
      <c r="I71" s="35"/>
      <c r="J71" s="35"/>
      <c r="K71" s="35"/>
      <c r="L71" s="35"/>
      <c r="M71" s="35"/>
      <c r="N71" s="35"/>
      <c r="O71" s="36" t="s">
        <v>357</v>
      </c>
      <c r="P71" s="36" t="s">
        <v>26</v>
      </c>
      <c r="Q71" s="36" t="s">
        <v>27</v>
      </c>
      <c r="R71" s="36" t="s">
        <v>358</v>
      </c>
      <c r="S71" s="36" t="s">
        <v>29</v>
      </c>
      <c r="T71" s="36" t="s">
        <v>30</v>
      </c>
      <c r="U71" s="37" t="s">
        <v>31</v>
      </c>
      <c r="V71" s="133" t="s">
        <v>359</v>
      </c>
      <c r="W71" s="134" t="s">
        <v>360</v>
      </c>
      <c r="X71" s="135"/>
      <c r="Z71" s="51" t="str">
        <f>IFERROR(__xludf.DUMMYFUNCTION("""COMPUTED_VALUE"""),"Measurement uncertainty evaluation of salinity sensing through water electrical conductivity method with gravimetric validation")</f>
        <v>Measurement uncertainty evaluation of salinity sensing through water electrical conductivity method with gravimetric validation</v>
      </c>
      <c r="AA71" s="99" t="str">
        <f>IFERROR(__xludf.DUMMYFUNCTION("""COMPUTED_VALUE"""),"Published")</f>
        <v>Published</v>
      </c>
      <c r="AB71" s="56"/>
      <c r="AC71" s="44" t="str">
        <f>IFERROR(__xludf.DUMMYFUNCTION("""COMPUTED_VALUE"""),"https://doi.org/10.1063/5.0178507")</f>
        <v>https://doi.org/10.1063/5.0178507</v>
      </c>
      <c r="AD71" s="45"/>
      <c r="AE71" s="45"/>
      <c r="AF71" s="45"/>
      <c r="AG71" s="45"/>
      <c r="AH71" s="45"/>
      <c r="AI71" s="45"/>
      <c r="AJ71" s="45"/>
      <c r="AK71" s="45"/>
      <c r="AL71" s="45"/>
      <c r="AM71" s="45"/>
    </row>
    <row r="72" ht="37.5" customHeight="1">
      <c r="A72" s="131">
        <v>67.0</v>
      </c>
      <c r="B72" s="58">
        <f t="shared" si="1"/>
        <v>45477.89683</v>
      </c>
      <c r="C72" s="136"/>
      <c r="D72" s="47"/>
      <c r="E72" s="137" t="s">
        <v>361</v>
      </c>
      <c r="F72" s="89" t="s">
        <v>108</v>
      </c>
      <c r="G72" s="89" t="s">
        <v>126</v>
      </c>
      <c r="H72" s="87"/>
      <c r="I72" s="87"/>
      <c r="J72" s="87"/>
      <c r="K72" s="87"/>
      <c r="L72" s="87"/>
      <c r="M72" s="87"/>
      <c r="N72" s="87"/>
      <c r="O72" s="93" t="s">
        <v>362</v>
      </c>
      <c r="P72" s="93" t="s">
        <v>26</v>
      </c>
      <c r="Q72" s="93" t="s">
        <v>27</v>
      </c>
      <c r="R72" s="93" t="s">
        <v>363</v>
      </c>
      <c r="S72" s="93" t="s">
        <v>173</v>
      </c>
      <c r="T72" s="87"/>
      <c r="U72" s="95" t="s">
        <v>31</v>
      </c>
      <c r="V72" s="96" t="s">
        <v>364</v>
      </c>
      <c r="W72" s="96" t="s">
        <v>365</v>
      </c>
      <c r="X72" s="138" t="s">
        <v>366</v>
      </c>
      <c r="Z72" s="51" t="str">
        <f>IFERROR(__xludf.DUMMYFUNCTION("""COMPUTED_VALUE"""),"Initial Coverage Analysis of LoRa Communication for Light Buoy Monitoring System in Port Area")</f>
        <v>Initial Coverage Analysis of LoRa Communication for Light Buoy Monitoring System in Port Area</v>
      </c>
      <c r="AA72" s="51" t="str">
        <f>IFERROR(__xludf.DUMMYFUNCTION("""COMPUTED_VALUE"""),"Published")</f>
        <v>Published</v>
      </c>
      <c r="AB72" s="56"/>
      <c r="AC72" s="44" t="str">
        <f>IFERROR(__xludf.DUMMYFUNCTION("""COMPUTED_VALUE"""),"10.1109/ICRAMET60171.2023.10366551")</f>
        <v>10.1109/ICRAMET60171.2023.10366551</v>
      </c>
      <c r="AD72" s="45"/>
      <c r="AE72" s="45"/>
      <c r="AF72" s="45"/>
      <c r="AG72" s="45"/>
      <c r="AH72" s="45"/>
      <c r="AI72" s="45"/>
      <c r="AJ72" s="45"/>
      <c r="AK72" s="45"/>
      <c r="AL72" s="45"/>
      <c r="AM72" s="45"/>
    </row>
    <row r="73" ht="37.5" customHeight="1">
      <c r="A73" s="131">
        <v>68.0</v>
      </c>
      <c r="B73" s="58">
        <f t="shared" si="1"/>
        <v>45477.90949</v>
      </c>
      <c r="C73" s="136"/>
      <c r="D73" s="47"/>
      <c r="E73" s="68" t="s">
        <v>367</v>
      </c>
      <c r="F73" s="34" t="s">
        <v>34</v>
      </c>
      <c r="G73" s="34" t="s">
        <v>38</v>
      </c>
      <c r="H73" s="35"/>
      <c r="I73" s="35"/>
      <c r="J73" s="35"/>
      <c r="K73" s="35"/>
      <c r="L73" s="35"/>
      <c r="M73" s="35"/>
      <c r="N73" s="35"/>
      <c r="O73" s="36" t="s">
        <v>368</v>
      </c>
      <c r="P73" s="36" t="s">
        <v>26</v>
      </c>
      <c r="Q73" s="36" t="s">
        <v>27</v>
      </c>
      <c r="R73" s="36" t="s">
        <v>369</v>
      </c>
      <c r="S73" s="36" t="s">
        <v>173</v>
      </c>
      <c r="T73" s="35"/>
      <c r="U73" s="37" t="s">
        <v>31</v>
      </c>
      <c r="V73" s="59" t="s">
        <v>370</v>
      </c>
      <c r="W73" s="109"/>
      <c r="X73" s="77" t="s">
        <v>371</v>
      </c>
      <c r="Z73" s="51" t="str">
        <f>IFERROR(__xludf.DUMMYFUNCTION("""COMPUTED_VALUE"""),"Hybrid Control Strategy for Underactuated AUVs to Overcoming Environmental Uncertainties")</f>
        <v>Hybrid Control Strategy for Underactuated AUVs to Overcoming Environmental Uncertainties</v>
      </c>
      <c r="AA73" s="51" t="str">
        <f>IFERROR(__xludf.DUMMYFUNCTION("""COMPUTED_VALUE"""),"Published")</f>
        <v>Published</v>
      </c>
      <c r="AB73" s="56"/>
      <c r="AC73" s="44" t="str">
        <f>IFERROR(__xludf.DUMMYFUNCTION("""COMPUTED_VALUE"""),"10.1109/ICRAMET60171.2023.10366642")</f>
        <v>10.1109/ICRAMET60171.2023.10366642</v>
      </c>
      <c r="AD73" s="45"/>
      <c r="AE73" s="45"/>
      <c r="AF73" s="45"/>
      <c r="AG73" s="45"/>
      <c r="AH73" s="45"/>
      <c r="AI73" s="45"/>
      <c r="AJ73" s="45"/>
      <c r="AK73" s="45"/>
      <c r="AL73" s="45"/>
      <c r="AM73" s="45"/>
    </row>
    <row r="74" ht="37.5" customHeight="1">
      <c r="A74" s="131">
        <v>69.0</v>
      </c>
      <c r="B74" s="58">
        <f t="shared" si="1"/>
        <v>45481.92431</v>
      </c>
      <c r="C74" s="139"/>
      <c r="D74" s="47"/>
      <c r="E74" s="68" t="s">
        <v>372</v>
      </c>
      <c r="F74" s="34" t="s">
        <v>23</v>
      </c>
      <c r="G74" s="34" t="s">
        <v>282</v>
      </c>
      <c r="H74" s="35"/>
      <c r="I74" s="35"/>
      <c r="J74" s="35"/>
      <c r="K74" s="35"/>
      <c r="L74" s="35"/>
      <c r="M74" s="35"/>
      <c r="N74" s="35"/>
      <c r="O74" s="36" t="s">
        <v>373</v>
      </c>
      <c r="P74" s="36" t="s">
        <v>26</v>
      </c>
      <c r="Q74" s="36" t="s">
        <v>27</v>
      </c>
      <c r="R74" s="36" t="s">
        <v>172</v>
      </c>
      <c r="S74" s="36" t="s">
        <v>173</v>
      </c>
      <c r="T74" s="35"/>
      <c r="U74" s="37" t="s">
        <v>31</v>
      </c>
      <c r="V74" s="39" t="s">
        <v>374</v>
      </c>
      <c r="W74" s="39" t="s">
        <v>375</v>
      </c>
      <c r="X74" s="50"/>
      <c r="Z74" s="51" t="str">
        <f>IFERROR(__xludf.DUMMYFUNCTION("""COMPUTED_VALUE"""),"Fruit Recognition Through Active Grasping of Two-Fingered Gripper Using a Soft Skin Sensor")</f>
        <v>Fruit Recognition Through Active Grasping of Two-Fingered Gripper Using a Soft Skin Sensor</v>
      </c>
      <c r="AA74" s="51" t="str">
        <f>IFERROR(__xludf.DUMMYFUNCTION("""COMPUTED_VALUE"""),"Published")</f>
        <v>Published</v>
      </c>
      <c r="AB74" s="56"/>
      <c r="AC74" s="44" t="str">
        <f>IFERROR(__xludf.DUMMYFUNCTION("""COMPUTED_VALUE"""),"10.1109/ICRAMET60171.2023.10366648")</f>
        <v>10.1109/ICRAMET60171.2023.10366648</v>
      </c>
      <c r="AD74" s="45"/>
      <c r="AE74" s="45"/>
      <c r="AF74" s="45"/>
      <c r="AG74" s="45"/>
      <c r="AH74" s="45"/>
      <c r="AI74" s="45"/>
      <c r="AJ74" s="45"/>
      <c r="AK74" s="45"/>
      <c r="AL74" s="45"/>
      <c r="AM74" s="45"/>
    </row>
    <row r="75" ht="37.5" customHeight="1">
      <c r="A75" s="131">
        <v>70.0</v>
      </c>
      <c r="B75" s="58">
        <f t="shared" si="1"/>
        <v>45485.51026</v>
      </c>
      <c r="C75" s="140" t="s">
        <v>206</v>
      </c>
      <c r="D75" s="47"/>
      <c r="E75" s="68" t="s">
        <v>376</v>
      </c>
      <c r="F75" s="34" t="s">
        <v>46</v>
      </c>
      <c r="G75" s="34" t="s">
        <v>47</v>
      </c>
      <c r="H75" s="35"/>
      <c r="I75" s="35"/>
      <c r="J75" s="35"/>
      <c r="K75" s="35"/>
      <c r="L75" s="35"/>
      <c r="M75" s="35"/>
      <c r="N75" s="35"/>
      <c r="O75" s="36" t="s">
        <v>377</v>
      </c>
      <c r="P75" s="36" t="s">
        <v>26</v>
      </c>
      <c r="Q75" s="36" t="s">
        <v>27</v>
      </c>
      <c r="R75" s="36" t="s">
        <v>378</v>
      </c>
      <c r="S75" s="36" t="s">
        <v>29</v>
      </c>
      <c r="T75" s="36" t="s">
        <v>85</v>
      </c>
      <c r="U75" s="37" t="s">
        <v>31</v>
      </c>
      <c r="V75" s="59" t="s">
        <v>379</v>
      </c>
      <c r="W75" s="60" t="s">
        <v>380</v>
      </c>
      <c r="X75" s="138" t="s">
        <v>381</v>
      </c>
      <c r="Z75" s="51" t="str">
        <f>IFERROR(__xludf.DUMMYFUNCTION("""COMPUTED_VALUE"""),"Beamwidth Optimization of CP Antenna Using Periodic Conducting Structures for Satellite Applications")</f>
        <v>Beamwidth Optimization of CP Antenna Using Periodic Conducting Structures for Satellite Applications</v>
      </c>
      <c r="AA75" s="51" t="str">
        <f>IFERROR(__xludf.DUMMYFUNCTION("""COMPUTED_VALUE"""),"Published")</f>
        <v>Published</v>
      </c>
      <c r="AB75" s="99"/>
      <c r="AC75" s="103" t="str">
        <f>IFERROR(__xludf.DUMMYFUNCTION("""COMPUTED_VALUE"""),"DOI: 10.1109/ICARES60489.2023.10329888")</f>
        <v>DOI: 10.1109/ICARES60489.2023.10329888</v>
      </c>
      <c r="AD75" s="103"/>
      <c r="AE75" s="103"/>
      <c r="AF75" s="103"/>
      <c r="AG75" s="103"/>
      <c r="AH75" s="103"/>
      <c r="AI75" s="103"/>
      <c r="AJ75" s="103"/>
      <c r="AK75" s="103"/>
      <c r="AL75" s="103"/>
      <c r="AM75" s="103"/>
    </row>
    <row r="76" ht="15.75" customHeight="1">
      <c r="A76" s="131">
        <v>71.0</v>
      </c>
      <c r="B76" s="58">
        <f t="shared" si="1"/>
        <v>45485.51956</v>
      </c>
      <c r="C76" s="80"/>
      <c r="D76" s="47"/>
      <c r="E76" s="68" t="s">
        <v>382</v>
      </c>
      <c r="F76" s="34" t="s">
        <v>23</v>
      </c>
      <c r="G76" s="34" t="s">
        <v>24</v>
      </c>
      <c r="H76" s="36" t="s">
        <v>65</v>
      </c>
      <c r="I76" s="36" t="s">
        <v>66</v>
      </c>
      <c r="J76" s="36" t="s">
        <v>67</v>
      </c>
      <c r="K76" s="36" t="s">
        <v>69</v>
      </c>
      <c r="L76" s="36" t="s">
        <v>68</v>
      </c>
      <c r="M76" s="36" t="s">
        <v>70</v>
      </c>
      <c r="N76" s="35"/>
      <c r="O76" s="36" t="s">
        <v>71</v>
      </c>
      <c r="P76" s="36" t="s">
        <v>26</v>
      </c>
      <c r="Q76" s="36" t="s">
        <v>192</v>
      </c>
      <c r="R76" s="36" t="s">
        <v>383</v>
      </c>
      <c r="S76" s="36" t="s">
        <v>29</v>
      </c>
      <c r="T76" s="36" t="s">
        <v>30</v>
      </c>
      <c r="U76" s="37" t="s">
        <v>31</v>
      </c>
      <c r="V76" s="35"/>
      <c r="W76" s="69"/>
      <c r="X76" s="50"/>
      <c r="Z76" s="51" t="str">
        <f>IFERROR(__xludf.DUMMYFUNCTION("""COMPUTED_VALUE"""),"Tsunami tide prediction in shallow water using recurrent neural networks: model implementation in the Indonesia Tsunami Early Warning System")</f>
        <v>Tsunami tide prediction in shallow water using recurrent neural networks: model implementation in the Indonesia Tsunami Early Warning System</v>
      </c>
      <c r="AA76" s="51" t="str">
        <f>IFERROR(__xludf.DUMMYFUNCTION("""COMPUTED_VALUE"""),"Published")</f>
        <v>Published</v>
      </c>
      <c r="AB76" s="99"/>
      <c r="AC76" s="102" t="str">
        <f>IFERROR(__xludf.DUMMYFUNCTION("""COMPUTED_VALUE"""),"https://doi.org/10.1007/s40860-023-00214-8")</f>
        <v>https://doi.org/10.1007/s40860-023-00214-8</v>
      </c>
      <c r="AD76" s="103"/>
      <c r="AE76" s="103"/>
      <c r="AF76" s="103"/>
      <c r="AG76" s="103"/>
      <c r="AH76" s="103"/>
      <c r="AI76" s="103"/>
      <c r="AJ76" s="103"/>
      <c r="AK76" s="103"/>
      <c r="AL76" s="103"/>
      <c r="AM76" s="103"/>
    </row>
    <row r="77" ht="15.75" customHeight="1">
      <c r="A77" s="131">
        <v>72.0</v>
      </c>
      <c r="B77" s="58">
        <f t="shared" si="1"/>
        <v>45485.52263</v>
      </c>
      <c r="C77" s="136"/>
      <c r="D77" s="47"/>
      <c r="E77" s="68" t="s">
        <v>384</v>
      </c>
      <c r="F77" s="34" t="s">
        <v>23</v>
      </c>
      <c r="G77" s="34" t="s">
        <v>24</v>
      </c>
      <c r="H77" s="35"/>
      <c r="I77" s="35"/>
      <c r="J77" s="35"/>
      <c r="K77" s="35"/>
      <c r="L77" s="35"/>
      <c r="M77" s="35"/>
      <c r="N77" s="35"/>
      <c r="O77" s="36" t="s">
        <v>385</v>
      </c>
      <c r="P77" s="36" t="s">
        <v>26</v>
      </c>
      <c r="Q77" s="36" t="s">
        <v>192</v>
      </c>
      <c r="R77" s="68" t="s">
        <v>386</v>
      </c>
      <c r="S77" s="36" t="s">
        <v>29</v>
      </c>
      <c r="T77" s="36" t="s">
        <v>30</v>
      </c>
      <c r="U77" s="37" t="s">
        <v>31</v>
      </c>
      <c r="V77" s="35"/>
      <c r="W77" s="69"/>
      <c r="X77" s="141"/>
      <c r="Z77" s="51" t="str">
        <f>IFERROR(__xludf.DUMMYFUNCTION("""COMPUTED_VALUE"""),"Analysis of LoRaWAN Node to LoRaWAN Infrastructure for Environmental Monitoring in Indonesia")</f>
        <v>Analysis of LoRaWAN Node to LoRaWAN Infrastructure for Environmental Monitoring in Indonesia</v>
      </c>
      <c r="AA77" s="51" t="str">
        <f>IFERROR(__xludf.DUMMYFUNCTION("""COMPUTED_VALUE"""),"Published")</f>
        <v>Published</v>
      </c>
      <c r="AB77" s="99"/>
      <c r="AC77" s="103" t="str">
        <f>IFERROR(__xludf.DUMMYFUNCTION("""COMPUTED_VALUE"""),"DOI:10.1109/ICRAMET60171.2023.10366734")</f>
        <v>DOI:10.1109/ICRAMET60171.2023.10366734</v>
      </c>
      <c r="AD77" s="103"/>
      <c r="AE77" s="103"/>
      <c r="AF77" s="103"/>
      <c r="AG77" s="103"/>
      <c r="AH77" s="103"/>
      <c r="AI77" s="103"/>
      <c r="AJ77" s="103"/>
      <c r="AK77" s="103"/>
      <c r="AL77" s="103"/>
      <c r="AM77" s="103"/>
    </row>
    <row r="78" ht="15.75" customHeight="1">
      <c r="A78" s="131">
        <v>73.0</v>
      </c>
      <c r="B78" s="58">
        <f t="shared" si="1"/>
        <v>45485.5908</v>
      </c>
      <c r="C78" s="139"/>
      <c r="D78" s="47"/>
      <c r="E78" s="68" t="s">
        <v>387</v>
      </c>
      <c r="F78" s="34" t="s">
        <v>108</v>
      </c>
      <c r="G78" s="34" t="s">
        <v>388</v>
      </c>
      <c r="H78" s="36" t="s">
        <v>389</v>
      </c>
      <c r="I78" s="36" t="s">
        <v>390</v>
      </c>
      <c r="J78" s="67" t="s">
        <v>391</v>
      </c>
      <c r="K78" s="67" t="s">
        <v>392</v>
      </c>
      <c r="L78" s="36" t="s">
        <v>393</v>
      </c>
      <c r="M78" s="35"/>
      <c r="N78" s="35"/>
      <c r="O78" s="36" t="s">
        <v>394</v>
      </c>
      <c r="P78" s="36" t="s">
        <v>26</v>
      </c>
      <c r="Q78" s="36" t="s">
        <v>192</v>
      </c>
      <c r="R78" s="36" t="s">
        <v>395</v>
      </c>
      <c r="S78" s="36" t="s">
        <v>29</v>
      </c>
      <c r="T78" s="36" t="s">
        <v>43</v>
      </c>
      <c r="U78" s="37" t="s">
        <v>31</v>
      </c>
      <c r="V78" s="35"/>
      <c r="W78" s="69"/>
      <c r="X78" s="50"/>
      <c r="Z78" s="51" t="str">
        <f>IFERROR(__xludf.DUMMYFUNCTION("""COMPUTED_VALUE"""),"Low Hydrostatic Pressure Detection using Fiber Bragg Grating Sensor")</f>
        <v>Low Hydrostatic Pressure Detection using Fiber Bragg Grating Sensor</v>
      </c>
      <c r="AA78" s="51" t="str">
        <f>IFERROR(__xludf.DUMMYFUNCTION("""COMPUTED_VALUE"""),"Published")</f>
        <v>Published</v>
      </c>
      <c r="AB78" s="99"/>
      <c r="AC78" s="102" t="str">
        <f>IFERROR(__xludf.DUMMYFUNCTION("""COMPUTED_VALUE"""),"https://doi.org/10.14716/ijtech.v14i7.6714")</f>
        <v>https://doi.org/10.14716/ijtech.v14i7.6714</v>
      </c>
      <c r="AD78" s="103"/>
      <c r="AE78" s="103"/>
      <c r="AF78" s="103"/>
      <c r="AG78" s="103"/>
      <c r="AH78" s="103"/>
      <c r="AI78" s="103"/>
      <c r="AJ78" s="103"/>
      <c r="AK78" s="103"/>
      <c r="AL78" s="103"/>
      <c r="AM78" s="103"/>
    </row>
    <row r="79" ht="15.75" customHeight="1">
      <c r="A79" s="131">
        <v>74.0</v>
      </c>
      <c r="B79" s="58">
        <f t="shared" si="1"/>
        <v>45485.59277</v>
      </c>
      <c r="C79" s="139"/>
      <c r="D79" s="98"/>
      <c r="E79" s="142" t="s">
        <v>396</v>
      </c>
      <c r="F79" s="143" t="s">
        <v>108</v>
      </c>
      <c r="G79" s="34"/>
      <c r="H79" s="35"/>
      <c r="I79" s="36" t="s">
        <v>388</v>
      </c>
      <c r="J79" s="35"/>
      <c r="K79" s="35"/>
      <c r="L79" s="35"/>
      <c r="M79" s="35"/>
      <c r="N79" s="35"/>
      <c r="O79" s="36" t="s">
        <v>397</v>
      </c>
      <c r="P79" s="36" t="s">
        <v>83</v>
      </c>
      <c r="Q79" s="36" t="s">
        <v>192</v>
      </c>
      <c r="R79" s="36" t="s">
        <v>398</v>
      </c>
      <c r="S79" s="36" t="s">
        <v>29</v>
      </c>
      <c r="T79" s="35"/>
      <c r="U79" s="37" t="s">
        <v>31</v>
      </c>
      <c r="V79" s="144"/>
      <c r="W79" s="145"/>
      <c r="X79" s="146" t="s">
        <v>399</v>
      </c>
      <c r="Z79" s="51" t="str">
        <f>IFERROR(__xludf.DUMMYFUNCTION("""COMPUTED_VALUE"""),"An Analytical Approach to Uninterrupted UAV Video Communication: Simulations and Findingsz")</f>
        <v>An Analytical Approach to Uninterrupted UAV Video Communication: Simulations and Findingsz</v>
      </c>
      <c r="AA79" s="51" t="str">
        <f>IFERROR(__xludf.DUMMYFUNCTION("""COMPUTED_VALUE"""),"Published")</f>
        <v>Published</v>
      </c>
      <c r="AB79" s="99"/>
      <c r="AC79" s="102" t="str">
        <f>IFERROR(__xludf.DUMMYFUNCTION("""COMPUTED_VALUE"""),"10.1109/ICRAMET60171.2023.10366537")</f>
        <v>10.1109/ICRAMET60171.2023.10366537</v>
      </c>
      <c r="AD79" s="103"/>
      <c r="AE79" s="103"/>
      <c r="AF79" s="103"/>
      <c r="AG79" s="103"/>
      <c r="AH79" s="103"/>
      <c r="AI79" s="103"/>
      <c r="AJ79" s="103"/>
      <c r="AK79" s="103"/>
      <c r="AL79" s="103"/>
      <c r="AM79" s="103"/>
    </row>
    <row r="80" ht="15.75" customHeight="1">
      <c r="A80" s="131">
        <v>75.0</v>
      </c>
      <c r="B80" s="58">
        <f t="shared" si="1"/>
        <v>45489.79309</v>
      </c>
      <c r="C80" s="139"/>
      <c r="D80" s="47"/>
      <c r="E80" s="68" t="s">
        <v>400</v>
      </c>
      <c r="F80" s="34" t="s">
        <v>108</v>
      </c>
      <c r="G80" s="34" t="s">
        <v>390</v>
      </c>
      <c r="H80" s="67" t="s">
        <v>401</v>
      </c>
      <c r="I80" s="36" t="s">
        <v>393</v>
      </c>
      <c r="J80" s="36" t="s">
        <v>123</v>
      </c>
      <c r="K80" s="67" t="s">
        <v>402</v>
      </c>
      <c r="L80" s="36" t="s">
        <v>308</v>
      </c>
      <c r="M80" s="35"/>
      <c r="N80" s="35"/>
      <c r="O80" s="35"/>
      <c r="P80" s="36" t="s">
        <v>83</v>
      </c>
      <c r="Q80" s="36" t="s">
        <v>127</v>
      </c>
      <c r="R80" s="36" t="s">
        <v>403</v>
      </c>
      <c r="S80" s="36"/>
      <c r="T80" s="35"/>
      <c r="U80" s="37" t="s">
        <v>31</v>
      </c>
      <c r="V80" s="35"/>
      <c r="W80" s="69"/>
      <c r="X80" s="141"/>
      <c r="Z80" s="51" t="str">
        <f>IFERROR(__xludf.DUMMYFUNCTION("""COMPUTED_VALUE"""),"Transmitter and Receiver Design for Visible Light Communication System with Off-the-Shelf LED Towards its Implementation Possibility for Vehicle to Vehicle/Infrastructure (V2V/V2I) Communication")</f>
        <v>Transmitter and Receiver Design for Visible Light Communication System with Off-the-Shelf LED Towards its Implementation Possibility for Vehicle to Vehicle/Infrastructure (V2V/V2I) Communication</v>
      </c>
      <c r="AA80" s="51" t="str">
        <f>IFERROR(__xludf.DUMMYFUNCTION("""COMPUTED_VALUE"""),"Published")</f>
        <v>Published</v>
      </c>
      <c r="AB80" s="99"/>
      <c r="AC80" s="102" t="str">
        <f>IFERROR(__xludf.DUMMYFUNCTION("""COMPUTED_VALUE"""),"10.1109/ICRAMET60171.2023.10366558")</f>
        <v>10.1109/ICRAMET60171.2023.10366558</v>
      </c>
      <c r="AD80" s="103"/>
      <c r="AE80" s="103"/>
      <c r="AF80" s="103"/>
      <c r="AG80" s="103"/>
      <c r="AH80" s="103"/>
      <c r="AI80" s="103"/>
      <c r="AJ80" s="103"/>
      <c r="AK80" s="103"/>
      <c r="AL80" s="103"/>
      <c r="AM80" s="103"/>
    </row>
    <row r="81" ht="15.75" customHeight="1">
      <c r="A81" s="131">
        <v>76.0</v>
      </c>
      <c r="B81" s="58">
        <f t="shared" si="1"/>
        <v>45489.79309</v>
      </c>
      <c r="C81" s="136"/>
      <c r="D81" s="47"/>
      <c r="E81" s="68" t="s">
        <v>404</v>
      </c>
      <c r="F81" s="34" t="s">
        <v>34</v>
      </c>
      <c r="G81" s="34" t="s">
        <v>405</v>
      </c>
      <c r="H81" s="36" t="s">
        <v>406</v>
      </c>
      <c r="I81" s="36" t="s">
        <v>37</v>
      </c>
      <c r="J81" s="35"/>
      <c r="K81" s="35"/>
      <c r="L81" s="35"/>
      <c r="M81" s="35"/>
      <c r="N81" s="35"/>
      <c r="O81" s="36" t="s">
        <v>407</v>
      </c>
      <c r="P81" s="36" t="s">
        <v>83</v>
      </c>
      <c r="Q81" s="36" t="s">
        <v>127</v>
      </c>
      <c r="R81" s="36" t="s">
        <v>403</v>
      </c>
      <c r="S81" s="35"/>
      <c r="T81" s="35"/>
      <c r="U81" s="37" t="s">
        <v>31</v>
      </c>
      <c r="V81" s="147"/>
      <c r="W81" s="148"/>
      <c r="X81" s="149"/>
      <c r="Z81" s="51" t="str">
        <f>IFERROR(__xludf.DUMMYFUNCTION("""COMPUTED_VALUE"""),"Electronic structure of P-type amorphous silicon nanowires")</f>
        <v>Electronic structure of P-type amorphous silicon nanowires</v>
      </c>
      <c r="AA81" s="51" t="str">
        <f>IFERROR(__xludf.DUMMYFUNCTION("""COMPUTED_VALUE"""),"Published")</f>
        <v>Published</v>
      </c>
      <c r="AB81" s="99"/>
      <c r="AC81" s="102" t="str">
        <f>IFERROR(__xludf.DUMMYFUNCTION("""COMPUTED_VALUE"""),"https://doi.org/10.1088/1402-4896/acf89e")</f>
        <v>https://doi.org/10.1088/1402-4896/acf89e</v>
      </c>
      <c r="AD81" s="103"/>
      <c r="AE81" s="103"/>
      <c r="AF81" s="103"/>
      <c r="AG81" s="103"/>
      <c r="AH81" s="103"/>
      <c r="AI81" s="103"/>
      <c r="AJ81" s="103"/>
      <c r="AK81" s="103"/>
      <c r="AL81" s="103"/>
      <c r="AM81" s="103"/>
    </row>
    <row r="82" ht="15.75" customHeight="1">
      <c r="A82" s="131">
        <v>77.0</v>
      </c>
      <c r="B82" s="58">
        <f t="shared" si="1"/>
        <v>45489.79309</v>
      </c>
      <c r="C82" s="139"/>
      <c r="D82" s="150"/>
      <c r="E82" s="151" t="s">
        <v>408</v>
      </c>
      <c r="F82" s="152" t="s">
        <v>46</v>
      </c>
      <c r="G82" s="152" t="s">
        <v>409</v>
      </c>
      <c r="H82" s="147"/>
      <c r="I82" s="147"/>
      <c r="J82" s="147"/>
      <c r="K82" s="147"/>
      <c r="L82" s="147"/>
      <c r="M82" s="147"/>
      <c r="N82" s="147"/>
      <c r="O82" s="153" t="s">
        <v>410</v>
      </c>
      <c r="P82" s="36" t="s">
        <v>26</v>
      </c>
      <c r="Q82" s="154" t="s">
        <v>27</v>
      </c>
      <c r="R82" s="155" t="s">
        <v>411</v>
      </c>
      <c r="S82" s="154" t="s">
        <v>29</v>
      </c>
      <c r="T82" s="154" t="s">
        <v>30</v>
      </c>
      <c r="U82" s="37" t="s">
        <v>31</v>
      </c>
      <c r="V82" s="156" t="s">
        <v>412</v>
      </c>
      <c r="W82" s="157" t="s">
        <v>413</v>
      </c>
      <c r="X82" s="157"/>
      <c r="Z82" s="51" t="str">
        <f>IFERROR(__xludf.DUMMYFUNCTION("""COMPUTED_VALUE"""),"Enhancement of the Silicon Nanocrystals’ Electronic Structure within a Silicon Carbide Matrix")</f>
        <v>Enhancement of the Silicon Nanocrystals’ Electronic Structure within a Silicon Carbide Matrix</v>
      </c>
      <c r="AA82" s="51" t="str">
        <f>IFERROR(__xludf.DUMMYFUNCTION("""COMPUTED_VALUE"""),"Published")</f>
        <v>Published</v>
      </c>
      <c r="AB82" s="99"/>
      <c r="AC82" s="102" t="str">
        <f>IFERROR(__xludf.DUMMYFUNCTION("""COMPUTED_VALUE"""),"https://doi.org/10.22146/ijc.79864")</f>
        <v>https://doi.org/10.22146/ijc.79864</v>
      </c>
      <c r="AD82" s="103"/>
      <c r="AE82" s="103"/>
      <c r="AF82" s="103"/>
      <c r="AG82" s="103"/>
      <c r="AH82" s="103"/>
      <c r="AI82" s="103"/>
      <c r="AJ82" s="103"/>
      <c r="AK82" s="103"/>
      <c r="AL82" s="103"/>
      <c r="AM82" s="103"/>
    </row>
    <row r="83" ht="15.75" customHeight="1">
      <c r="A83" s="131">
        <v>78.0</v>
      </c>
      <c r="B83" s="58">
        <f t="shared" si="1"/>
        <v>45496.78257</v>
      </c>
      <c r="C83" s="100"/>
      <c r="D83" s="150"/>
      <c r="E83" s="158" t="s">
        <v>414</v>
      </c>
      <c r="F83" s="152" t="s">
        <v>108</v>
      </c>
      <c r="G83" s="152" t="s">
        <v>121</v>
      </c>
      <c r="H83" s="159" t="s">
        <v>415</v>
      </c>
      <c r="I83" s="154" t="s">
        <v>119</v>
      </c>
      <c r="J83" s="154" t="s">
        <v>122</v>
      </c>
      <c r="K83" s="154" t="s">
        <v>123</v>
      </c>
      <c r="L83" s="154" t="s">
        <v>416</v>
      </c>
      <c r="M83" s="154" t="s">
        <v>126</v>
      </c>
      <c r="N83" s="154" t="s">
        <v>308</v>
      </c>
      <c r="O83" s="147"/>
      <c r="P83" s="36" t="s">
        <v>83</v>
      </c>
      <c r="Q83" s="154" t="s">
        <v>215</v>
      </c>
      <c r="R83" s="147"/>
      <c r="S83" s="147"/>
      <c r="T83" s="147"/>
      <c r="U83" s="37" t="s">
        <v>31</v>
      </c>
      <c r="V83" s="147"/>
      <c r="W83" s="148"/>
      <c r="X83" s="149"/>
      <c r="Z83" s="51" t="str">
        <f>IFERROR(__xludf.DUMMYFUNCTION("""COMPUTED_VALUE"""),"Segmentation of drone-captured images for illegal cannabis plantation detection")</f>
        <v>Segmentation of drone-captured images for illegal cannabis plantation detection</v>
      </c>
      <c r="AA83" s="51" t="str">
        <f>IFERROR(__xludf.DUMMYFUNCTION("""COMPUTED_VALUE"""),"Published")</f>
        <v>Published</v>
      </c>
      <c r="AB83" s="99"/>
      <c r="AC83" s="102" t="str">
        <f>IFERROR(__xludf.DUMMYFUNCTION("""COMPUTED_VALUE"""),"https://doi.org/10.1063/5.0181482")</f>
        <v>https://doi.org/10.1063/5.0181482</v>
      </c>
      <c r="AD83" s="103"/>
      <c r="AE83" s="103"/>
      <c r="AF83" s="103"/>
      <c r="AG83" s="103"/>
      <c r="AH83" s="103"/>
      <c r="AI83" s="103"/>
      <c r="AJ83" s="103"/>
      <c r="AK83" s="103"/>
      <c r="AL83" s="103"/>
      <c r="AM83" s="103"/>
    </row>
    <row r="84" ht="15.75" customHeight="1">
      <c r="A84" s="131">
        <v>79.0</v>
      </c>
      <c r="B84" s="58">
        <f t="shared" si="1"/>
        <v>45496.78257</v>
      </c>
      <c r="C84" s="100"/>
      <c r="D84" s="150"/>
      <c r="E84" s="160" t="s">
        <v>417</v>
      </c>
      <c r="F84" s="152" t="s">
        <v>108</v>
      </c>
      <c r="G84" s="152" t="s">
        <v>121</v>
      </c>
      <c r="H84" s="154" t="s">
        <v>418</v>
      </c>
      <c r="I84" s="154" t="s">
        <v>393</v>
      </c>
      <c r="J84" s="154" t="s">
        <v>122</v>
      </c>
      <c r="K84" s="147"/>
      <c r="L84" s="147"/>
      <c r="M84" s="147"/>
      <c r="N84" s="147"/>
      <c r="O84" s="147"/>
      <c r="P84" s="36" t="s">
        <v>83</v>
      </c>
      <c r="Q84" s="154" t="s">
        <v>215</v>
      </c>
      <c r="R84" s="147"/>
      <c r="S84" s="147"/>
      <c r="T84" s="147"/>
      <c r="U84" s="37" t="s">
        <v>31</v>
      </c>
      <c r="V84" s="147"/>
      <c r="W84" s="148"/>
      <c r="X84" s="149"/>
      <c r="Z84" s="51" t="str">
        <f>IFERROR(__xludf.DUMMYFUNCTION("""COMPUTED_VALUE"""),"Tsunami tide prediction in shallow water using recurrent neural networks: model implementation in the Indonesia Tsunami Early Warning System")</f>
        <v>Tsunami tide prediction in shallow water using recurrent neural networks: model implementation in the Indonesia Tsunami Early Warning System</v>
      </c>
      <c r="AA84" s="51" t="str">
        <f>IFERROR(__xludf.DUMMYFUNCTION("""COMPUTED_VALUE"""),"Published")</f>
        <v>Published</v>
      </c>
      <c r="AB84" s="56"/>
      <c r="AC84" s="44" t="str">
        <f>IFERROR(__xludf.DUMMYFUNCTION("""COMPUTED_VALUE"""),"https://doi.org/10.1007/s40860-023-00214-8")</f>
        <v>https://doi.org/10.1007/s40860-023-00214-8</v>
      </c>
      <c r="AD84" s="45"/>
      <c r="AE84" s="45"/>
      <c r="AF84" s="45"/>
      <c r="AG84" s="45"/>
      <c r="AH84" s="45"/>
      <c r="AI84" s="45"/>
      <c r="AJ84" s="45"/>
      <c r="AK84" s="45"/>
      <c r="AL84" s="45"/>
      <c r="AM84" s="45"/>
    </row>
    <row r="85" ht="15.75" customHeight="1">
      <c r="A85" s="131">
        <v>80.0</v>
      </c>
      <c r="B85" s="58">
        <f t="shared" si="1"/>
        <v>45497.05784</v>
      </c>
      <c r="C85" s="136"/>
      <c r="D85" s="150"/>
      <c r="E85" s="158" t="s">
        <v>419</v>
      </c>
      <c r="F85" s="152" t="s">
        <v>108</v>
      </c>
      <c r="G85" s="152" t="s">
        <v>420</v>
      </c>
      <c r="H85" s="147"/>
      <c r="I85" s="147"/>
      <c r="J85" s="147"/>
      <c r="K85" s="147"/>
      <c r="L85" s="147"/>
      <c r="M85" s="147"/>
      <c r="N85" s="154"/>
      <c r="O85" s="154" t="s">
        <v>421</v>
      </c>
      <c r="P85" s="36" t="s">
        <v>26</v>
      </c>
      <c r="Q85" s="154" t="s">
        <v>215</v>
      </c>
      <c r="R85" s="154" t="s">
        <v>422</v>
      </c>
      <c r="S85" s="154" t="s">
        <v>29</v>
      </c>
      <c r="T85" s="154" t="s">
        <v>61</v>
      </c>
      <c r="U85" s="37" t="s">
        <v>31</v>
      </c>
      <c r="V85" s="161" t="s">
        <v>423</v>
      </c>
      <c r="W85" s="148"/>
      <c r="X85" s="50"/>
      <c r="Z85" s="51" t="str">
        <f>IFERROR(__xludf.DUMMYFUNCTION("""COMPUTED_VALUE"""),"Characteristics of landslides induced by an earthquake from a hidden strike-slip active fault in the Cianjur Area of West Java")</f>
        <v>Characteristics of landslides induced by an earthquake from a hidden strike-slip active fault in the Cianjur Area of West Java</v>
      </c>
      <c r="AA85" s="51" t="str">
        <f>IFERROR(__xludf.DUMMYFUNCTION("""COMPUTED_VALUE"""),"Published")</f>
        <v>Published</v>
      </c>
      <c r="AB85" s="51"/>
      <c r="AC85" s="52" t="str">
        <f>IFERROR(__xludf.DUMMYFUNCTION("""COMPUTED_VALUE"""),"https://doi.org/10.1051/e3sconf/202344701009")</f>
        <v>https://doi.org/10.1051/e3sconf/202344701009</v>
      </c>
      <c r="AD85" s="53"/>
      <c r="AE85" s="53"/>
      <c r="AF85" s="53"/>
      <c r="AG85" s="53"/>
      <c r="AH85" s="53"/>
      <c r="AI85" s="53"/>
      <c r="AJ85" s="53"/>
      <c r="AK85" s="53"/>
      <c r="AL85" s="53"/>
      <c r="AM85" s="53"/>
    </row>
    <row r="86" ht="15.75" customHeight="1">
      <c r="A86" s="131">
        <v>81.0</v>
      </c>
      <c r="B86" s="58" t="str">
        <f>IF(#REF!&lt;&gt;"",IF(B86="",NOW(),B86),"")</f>
        <v>#REF!</v>
      </c>
      <c r="C86" s="136"/>
      <c r="D86" s="47"/>
      <c r="E86" s="68" t="s">
        <v>424</v>
      </c>
      <c r="F86" s="34" t="s">
        <v>108</v>
      </c>
      <c r="G86" s="62" t="s">
        <v>425</v>
      </c>
      <c r="H86" s="36" t="s">
        <v>390</v>
      </c>
      <c r="I86" s="36" t="s">
        <v>393</v>
      </c>
      <c r="J86" s="36" t="s">
        <v>123</v>
      </c>
      <c r="K86" s="36" t="s">
        <v>426</v>
      </c>
      <c r="L86" s="35"/>
      <c r="M86" s="35"/>
      <c r="N86" s="35"/>
      <c r="O86" s="36" t="s">
        <v>427</v>
      </c>
      <c r="P86" s="36" t="s">
        <v>26</v>
      </c>
      <c r="Q86" s="36" t="s">
        <v>27</v>
      </c>
      <c r="R86" s="36" t="s">
        <v>316</v>
      </c>
      <c r="S86" s="36" t="s">
        <v>29</v>
      </c>
      <c r="T86" s="36" t="s">
        <v>61</v>
      </c>
      <c r="U86" s="37" t="s">
        <v>31</v>
      </c>
      <c r="V86" s="39" t="s">
        <v>428</v>
      </c>
      <c r="W86" s="39" t="s">
        <v>429</v>
      </c>
      <c r="X86" s="138" t="s">
        <v>430</v>
      </c>
      <c r="Z86" s="51" t="str">
        <f>IFERROR(__xludf.DUMMYFUNCTION("""COMPUTED_VALUE"""),"Comparison of Machine Learning Techniques for Grade Classification of Exported Cavendish Bananas")</f>
        <v>Comparison of Machine Learning Techniques for Grade Classification of Exported Cavendish Bananas</v>
      </c>
      <c r="AA86" s="51" t="str">
        <f>IFERROR(__xludf.DUMMYFUNCTION("""COMPUTED_VALUE"""),"Published")</f>
        <v>Published</v>
      </c>
      <c r="AB86" s="56"/>
      <c r="AC86" s="44" t="str">
        <f>IFERROR(__xludf.DUMMYFUNCTION("""COMPUTED_VALUE"""),"https://doi.org/10.1109/ICoDSE59534.2023.10291592")</f>
        <v>https://doi.org/10.1109/ICoDSE59534.2023.10291592</v>
      </c>
      <c r="AD86" s="45"/>
      <c r="AE86" s="45"/>
      <c r="AF86" s="45"/>
      <c r="AG86" s="45"/>
      <c r="AH86" s="45"/>
      <c r="AI86" s="45"/>
      <c r="AJ86" s="45"/>
      <c r="AK86" s="45"/>
      <c r="AL86" s="45"/>
      <c r="AM86" s="45"/>
    </row>
    <row r="87" ht="24.0" customHeight="1">
      <c r="A87" s="131">
        <v>82.0</v>
      </c>
      <c r="B87" s="58">
        <f>IF(E86&lt;&gt;"",IF(B87="",NOW(),B87),"")</f>
        <v>45497.44744</v>
      </c>
      <c r="C87" s="136"/>
      <c r="D87" s="47"/>
      <c r="E87" s="158" t="s">
        <v>431</v>
      </c>
      <c r="F87" s="34" t="s">
        <v>108</v>
      </c>
      <c r="G87" s="34" t="s">
        <v>418</v>
      </c>
      <c r="H87" s="36" t="s">
        <v>208</v>
      </c>
      <c r="I87" s="36" t="s">
        <v>393</v>
      </c>
      <c r="J87" s="36" t="s">
        <v>426</v>
      </c>
      <c r="K87" s="36" t="s">
        <v>121</v>
      </c>
      <c r="L87" s="36" t="s">
        <v>125</v>
      </c>
      <c r="M87" s="67" t="s">
        <v>432</v>
      </c>
      <c r="N87" s="35"/>
      <c r="O87" s="36" t="s">
        <v>433</v>
      </c>
      <c r="P87" s="36" t="s">
        <v>26</v>
      </c>
      <c r="Q87" s="36" t="s">
        <v>192</v>
      </c>
      <c r="R87" s="36" t="s">
        <v>434</v>
      </c>
      <c r="S87" s="36" t="s">
        <v>29</v>
      </c>
      <c r="T87" s="36" t="s">
        <v>43</v>
      </c>
      <c r="U87" s="162"/>
      <c r="V87" s="163" t="s">
        <v>435</v>
      </c>
      <c r="W87" s="164"/>
      <c r="X87" s="50"/>
      <c r="Z87" s="165" t="str">
        <f>IFERROR(__xludf.DUMMYFUNCTION("""COMPUTED_VALUE"""),"Detection of Low Hydrostatic Pressure Using Fiber Bragg Grating Sensor")</f>
        <v>Detection of Low Hydrostatic Pressure Using Fiber Bragg Grating Sensor</v>
      </c>
      <c r="AA87" s="165" t="str">
        <f>IFERROR(__xludf.DUMMYFUNCTION("""COMPUTED_VALUE"""),"Published")</f>
        <v>Published</v>
      </c>
      <c r="AB87" s="165"/>
      <c r="AC87" s="166" t="str">
        <f>IFERROR(__xludf.DUMMYFUNCTION("""COMPUTED_VALUE"""),"https://doi.org/10.14716/ijtech.v14i7.6714")</f>
        <v>https://doi.org/10.14716/ijtech.v14i7.6714</v>
      </c>
    </row>
    <row r="88" ht="15.75" customHeight="1">
      <c r="A88" s="131">
        <v>83.0</v>
      </c>
      <c r="B88" s="58">
        <f t="shared" ref="B88:B200" si="2">IF(E88&lt;&gt;"",IF(B88="",NOW(),B88),"")</f>
        <v>45498.5812</v>
      </c>
      <c r="C88" s="136"/>
      <c r="D88" s="47"/>
      <c r="E88" s="68" t="s">
        <v>436</v>
      </c>
      <c r="F88" s="34" t="s">
        <v>108</v>
      </c>
      <c r="G88" s="34" t="s">
        <v>123</v>
      </c>
      <c r="H88" s="36" t="s">
        <v>418</v>
      </c>
      <c r="I88" s="36" t="s">
        <v>390</v>
      </c>
      <c r="J88" s="36" t="s">
        <v>121</v>
      </c>
      <c r="K88" s="36" t="s">
        <v>122</v>
      </c>
      <c r="L88" s="35"/>
      <c r="M88" s="35"/>
      <c r="N88" s="35"/>
      <c r="O88" s="36" t="s">
        <v>437</v>
      </c>
      <c r="P88" s="36" t="s">
        <v>83</v>
      </c>
      <c r="Q88" s="36" t="s">
        <v>215</v>
      </c>
      <c r="R88" s="36" t="s">
        <v>403</v>
      </c>
      <c r="S88" s="35"/>
      <c r="T88" s="35"/>
      <c r="U88" s="37" t="s">
        <v>31</v>
      </c>
      <c r="V88" s="167"/>
      <c r="W88" s="168"/>
      <c r="X88" s="50"/>
      <c r="Z88" s="165" t="str">
        <f>IFERROR(__xludf.DUMMYFUNCTION("""COMPUTED_VALUE"""),"Digital Twin Model for Smart Maintenance of Data Center Facilities : Study Literature Review")</f>
        <v>Digital Twin Model for Smart Maintenance of Data Center Facilities : Study Literature Review</v>
      </c>
      <c r="AA88" s="165" t="str">
        <f>IFERROR(__xludf.DUMMYFUNCTION("""COMPUTED_VALUE"""),"Published")</f>
        <v>Published</v>
      </c>
      <c r="AB88" s="165"/>
      <c r="AC88" s="166" t="str">
        <f>IFERROR(__xludf.DUMMYFUNCTION("""COMPUTED_VALUE"""),"https://doi.org/10.1109/ICISS59129.2023.10291489")</f>
        <v>https://doi.org/10.1109/ICISS59129.2023.10291489</v>
      </c>
    </row>
    <row r="89" ht="15.75" customHeight="1">
      <c r="A89" s="131">
        <v>84.0</v>
      </c>
      <c r="B89" s="58">
        <f t="shared" si="2"/>
        <v>45498.5895</v>
      </c>
      <c r="C89" s="136"/>
      <c r="D89" s="169"/>
      <c r="E89" s="68" t="s">
        <v>438</v>
      </c>
      <c r="F89" s="34" t="s">
        <v>108</v>
      </c>
      <c r="G89" s="34" t="s">
        <v>418</v>
      </c>
      <c r="H89" s="36" t="s">
        <v>393</v>
      </c>
      <c r="I89" s="36" t="s">
        <v>121</v>
      </c>
      <c r="J89" s="36" t="s">
        <v>426</v>
      </c>
      <c r="K89" s="67" t="s">
        <v>439</v>
      </c>
      <c r="L89" s="36" t="s">
        <v>123</v>
      </c>
      <c r="M89" s="36" t="s">
        <v>122</v>
      </c>
      <c r="N89" s="36" t="s">
        <v>126</v>
      </c>
      <c r="O89" s="36" t="s">
        <v>440</v>
      </c>
      <c r="P89" s="36" t="s">
        <v>26</v>
      </c>
      <c r="Q89" s="36" t="s">
        <v>215</v>
      </c>
      <c r="R89" s="35"/>
      <c r="S89" s="36" t="s">
        <v>29</v>
      </c>
      <c r="T89" s="35"/>
      <c r="U89" s="37" t="s">
        <v>31</v>
      </c>
      <c r="V89" s="167"/>
      <c r="W89" s="168"/>
      <c r="X89" s="70" t="s">
        <v>441</v>
      </c>
      <c r="Z89" s="165" t="str">
        <f>IFERROR(__xludf.DUMMYFUNCTION("""COMPUTED_VALUE"""),"Effect of Various Composition Ratios on the Exchange Spring Effect in SrFe12O19/CoFe2O4 Nanocomposite Magnets")</f>
        <v>Effect of Various Composition Ratios on the Exchange Spring Effect in SrFe12O19/CoFe2O4 Nanocomposite Magnets</v>
      </c>
      <c r="AA89" s="165" t="str">
        <f>IFERROR(__xludf.DUMMYFUNCTION("""COMPUTED_VALUE"""),"Published")</f>
        <v>Published</v>
      </c>
      <c r="AB89" s="165"/>
      <c r="AC89" s="166" t="str">
        <f>IFERROR(__xludf.DUMMYFUNCTION("""COMPUTED_VALUE"""),"https://doi.org/10.4283/JMAG.2023.28.3.251")</f>
        <v>https://doi.org/10.4283/JMAG.2023.28.3.251</v>
      </c>
    </row>
    <row r="90" ht="15.75" customHeight="1">
      <c r="A90" s="131">
        <v>85.0</v>
      </c>
      <c r="B90" s="58">
        <f t="shared" si="2"/>
        <v>45502.39941</v>
      </c>
      <c r="C90" s="136"/>
      <c r="D90" s="47"/>
      <c r="E90" s="68" t="s">
        <v>442</v>
      </c>
      <c r="F90" s="34" t="s">
        <v>58</v>
      </c>
      <c r="G90" s="34" t="s">
        <v>443</v>
      </c>
      <c r="H90" s="36" t="s">
        <v>444</v>
      </c>
      <c r="I90" s="35"/>
      <c r="J90" s="35"/>
      <c r="K90" s="35"/>
      <c r="L90" s="35"/>
      <c r="M90" s="35"/>
      <c r="N90" s="35"/>
      <c r="O90" s="36" t="s">
        <v>445</v>
      </c>
      <c r="P90" s="36" t="s">
        <v>83</v>
      </c>
      <c r="Q90" s="36" t="s">
        <v>127</v>
      </c>
      <c r="R90" s="36" t="s">
        <v>403</v>
      </c>
      <c r="S90" s="35"/>
      <c r="T90" s="35"/>
      <c r="U90" s="37" t="s">
        <v>31</v>
      </c>
      <c r="V90" s="167"/>
      <c r="W90" s="168"/>
      <c r="X90" s="50"/>
      <c r="Z90" s="165" t="str">
        <f>IFERROR(__xludf.DUMMYFUNCTION("""COMPUTED_VALUE"""),"Facile and controllable synthesis of monodisperse gold nanoparticle bipyramid for electrochemical dopamine sensor")</f>
        <v>Facile and controllable synthesis of monodisperse gold nanoparticle bipyramid for electrochemical dopamine sensor</v>
      </c>
      <c r="AA90" s="165" t="str">
        <f>IFERROR(__xludf.DUMMYFUNCTION("""COMPUTED_VALUE"""),"Published")</f>
        <v>Published</v>
      </c>
      <c r="AB90" s="165"/>
      <c r="AC90" s="166" t="str">
        <f>IFERROR(__xludf.DUMMYFUNCTION("""COMPUTED_VALUE"""),"https://doi.org/10.1088/1361-6528/ac9d3f")</f>
        <v>https://doi.org/10.1088/1361-6528/ac9d3f</v>
      </c>
    </row>
    <row r="91" ht="15.75" customHeight="1">
      <c r="A91" s="131">
        <v>86.0</v>
      </c>
      <c r="B91" s="58">
        <f t="shared" si="2"/>
        <v>45502.39941</v>
      </c>
      <c r="C91" s="136"/>
      <c r="D91" s="47"/>
      <c r="E91" s="68" t="s">
        <v>446</v>
      </c>
      <c r="F91" s="34" t="s">
        <v>58</v>
      </c>
      <c r="G91" s="34" t="s">
        <v>447</v>
      </c>
      <c r="H91" s="36" t="s">
        <v>444</v>
      </c>
      <c r="I91" s="36" t="s">
        <v>448</v>
      </c>
      <c r="J91" s="36" t="s">
        <v>443</v>
      </c>
      <c r="K91" s="36" t="s">
        <v>449</v>
      </c>
      <c r="L91" s="67" t="s">
        <v>450</v>
      </c>
      <c r="M91" s="35"/>
      <c r="N91" s="35"/>
      <c r="O91" s="35"/>
      <c r="P91" s="36" t="s">
        <v>26</v>
      </c>
      <c r="Q91" s="36" t="s">
        <v>127</v>
      </c>
      <c r="R91" s="36" t="s">
        <v>451</v>
      </c>
      <c r="S91" s="35"/>
      <c r="T91" s="35"/>
      <c r="U91" s="37" t="s">
        <v>31</v>
      </c>
      <c r="V91" s="170"/>
      <c r="W91" s="168"/>
      <c r="X91" s="55" t="s">
        <v>452</v>
      </c>
      <c r="Z91" s="165" t="str">
        <f>IFERROR(__xludf.DUMMYFUNCTION("""COMPUTED_VALUE"""),"Galois field transformation effect on space-time-volume velocimetry method for water surface velocity video analysis")</f>
        <v>Galois field transformation effect on space-time-volume velocimetry method for water surface velocity video analysis</v>
      </c>
      <c r="AA91" s="165" t="str">
        <f>IFERROR(__xludf.DUMMYFUNCTION("""COMPUTED_VALUE"""),"Published")</f>
        <v>Published</v>
      </c>
      <c r="AB91" s="165"/>
      <c r="AC91" s="166" t="str">
        <f>IFERROR(__xludf.DUMMYFUNCTION("""COMPUTED_VALUE"""),"https://doi.org/10.1007/s11042-022-13627-z")</f>
        <v>https://doi.org/10.1007/s11042-022-13627-z</v>
      </c>
    </row>
    <row r="92" ht="15.75" customHeight="1">
      <c r="A92" s="131">
        <v>87.0</v>
      </c>
      <c r="B92" s="58">
        <f t="shared" si="2"/>
        <v>45502.39941</v>
      </c>
      <c r="C92" s="136"/>
      <c r="D92" s="47"/>
      <c r="E92" s="68" t="s">
        <v>453</v>
      </c>
      <c r="F92" s="34" t="s">
        <v>58</v>
      </c>
      <c r="G92" s="34" t="s">
        <v>444</v>
      </c>
      <c r="H92" s="35"/>
      <c r="I92" s="35"/>
      <c r="J92" s="35"/>
      <c r="K92" s="35"/>
      <c r="L92" s="35"/>
      <c r="M92" s="35"/>
      <c r="N92" s="35"/>
      <c r="O92" s="36" t="s">
        <v>454</v>
      </c>
      <c r="P92" s="36" t="s">
        <v>83</v>
      </c>
      <c r="Q92" s="36" t="s">
        <v>127</v>
      </c>
      <c r="R92" s="36" t="s">
        <v>403</v>
      </c>
      <c r="S92" s="35"/>
      <c r="T92" s="35"/>
      <c r="U92" s="37" t="s">
        <v>31</v>
      </c>
      <c r="V92" s="167"/>
      <c r="W92" s="168"/>
      <c r="X92" s="50"/>
      <c r="Z92" s="165" t="str">
        <f>IFERROR(__xludf.DUMMYFUNCTION("""COMPUTED_VALUE"""),"Identifying the potential innovation of visible light communications (VLC) using patent analysis")</f>
        <v>Identifying the potential innovation of visible light communications (VLC) using patent analysis</v>
      </c>
      <c r="AA92" s="165" t="str">
        <f>IFERROR(__xludf.DUMMYFUNCTION("""COMPUTED_VALUE"""),"Published")</f>
        <v>Published</v>
      </c>
      <c r="AB92" s="165"/>
      <c r="AC92" s="166" t="str">
        <f>IFERROR(__xludf.DUMMYFUNCTION("""COMPUTED_VALUE"""),"https://doi.org/10.1063/5.0132260")</f>
        <v>https://doi.org/10.1063/5.0132260</v>
      </c>
    </row>
    <row r="93" ht="15.75" customHeight="1">
      <c r="A93" s="131">
        <v>88.0</v>
      </c>
      <c r="B93" s="58">
        <f t="shared" si="2"/>
        <v>45502.58072</v>
      </c>
      <c r="C93" s="140" t="s">
        <v>206</v>
      </c>
      <c r="D93" s="47"/>
      <c r="E93" s="68" t="s">
        <v>455</v>
      </c>
      <c r="F93" s="34" t="s">
        <v>58</v>
      </c>
      <c r="G93" s="34" t="s">
        <v>53</v>
      </c>
      <c r="H93" s="35"/>
      <c r="I93" s="35"/>
      <c r="J93" s="35"/>
      <c r="K93" s="35"/>
      <c r="L93" s="35"/>
      <c r="M93" s="35"/>
      <c r="N93" s="35"/>
      <c r="O93" s="36" t="s">
        <v>456</v>
      </c>
      <c r="P93" s="36" t="s">
        <v>26</v>
      </c>
      <c r="Q93" s="36" t="s">
        <v>27</v>
      </c>
      <c r="R93" s="36" t="s">
        <v>457</v>
      </c>
      <c r="S93" s="36" t="s">
        <v>29</v>
      </c>
      <c r="T93" s="36" t="s">
        <v>30</v>
      </c>
      <c r="U93" s="37" t="s">
        <v>31</v>
      </c>
      <c r="V93" s="171" t="s">
        <v>458</v>
      </c>
      <c r="W93" s="172" t="s">
        <v>459</v>
      </c>
      <c r="X93" s="50"/>
      <c r="Z93" s="165" t="str">
        <f>IFERROR(__xludf.DUMMYFUNCTION("""COMPUTED_VALUE"""),"Image Segmentation in Aerial Imagery: A Review")</f>
        <v>Image Segmentation in Aerial Imagery: A Review</v>
      </c>
      <c r="AA93" s="165" t="str">
        <f>IFERROR(__xludf.DUMMYFUNCTION("""COMPUTED_VALUE"""),"Published")</f>
        <v>Published</v>
      </c>
      <c r="AB93" s="165"/>
      <c r="AC93" s="166" t="str">
        <f>IFERROR(__xludf.DUMMYFUNCTION("""COMPUTED_VALUE"""),"https://dx.doi.org/10.22441/sinergi.2023.3.006")</f>
        <v>https://dx.doi.org/10.22441/sinergi.2023.3.006</v>
      </c>
    </row>
    <row r="94" ht="15.75" customHeight="1">
      <c r="A94" s="131">
        <v>89.0</v>
      </c>
      <c r="B94" s="58" t="str">
        <f t="shared" si="2"/>
        <v/>
      </c>
      <c r="C94" s="136"/>
      <c r="D94" s="47"/>
      <c r="E94" s="68"/>
      <c r="F94" s="34" t="s">
        <v>58</v>
      </c>
      <c r="G94" s="34" t="s">
        <v>319</v>
      </c>
      <c r="H94" s="35"/>
      <c r="I94" s="35"/>
      <c r="J94" s="35"/>
      <c r="K94" s="35"/>
      <c r="L94" s="35"/>
      <c r="M94" s="35"/>
      <c r="N94" s="35"/>
      <c r="O94" s="35"/>
      <c r="P94" s="35"/>
      <c r="Q94" s="35"/>
      <c r="R94" s="35"/>
      <c r="S94" s="35"/>
      <c r="T94" s="35"/>
      <c r="U94" s="37" t="s">
        <v>31</v>
      </c>
      <c r="V94" s="167"/>
      <c r="W94" s="168"/>
      <c r="X94" s="173"/>
      <c r="Z94" s="165" t="str">
        <f>IFERROR(__xludf.DUMMYFUNCTION("""COMPUTED_VALUE"""),"The significance of educational level in acquiring good literacy of COVID-19: a case study in Indonesia")</f>
        <v>The significance of educational level in acquiring good literacy of COVID-19: a case study in Indonesia</v>
      </c>
      <c r="AA94" s="165" t="str">
        <f>IFERROR(__xludf.DUMMYFUNCTION("""COMPUTED_VALUE"""),"Published")</f>
        <v>Published</v>
      </c>
      <c r="AB94" s="165"/>
      <c r="AC94" s="166" t="str">
        <f>IFERROR(__xludf.DUMMYFUNCTION("""COMPUTED_VALUE"""),"https://doi.org/10.4081/jphia.2023.2577")</f>
        <v>https://doi.org/10.4081/jphia.2023.2577</v>
      </c>
    </row>
    <row r="95" ht="15.75" customHeight="1">
      <c r="A95" s="131">
        <v>90.0</v>
      </c>
      <c r="B95" s="58">
        <f t="shared" si="2"/>
        <v>45510.25576</v>
      </c>
      <c r="C95" s="136"/>
      <c r="D95" s="47"/>
      <c r="E95" s="68" t="s">
        <v>460</v>
      </c>
      <c r="F95" s="34" t="s">
        <v>58</v>
      </c>
      <c r="G95" s="34" t="s">
        <v>461</v>
      </c>
      <c r="H95" s="35"/>
      <c r="I95" s="35"/>
      <c r="J95" s="35"/>
      <c r="K95" s="35"/>
      <c r="L95" s="35"/>
      <c r="M95" s="35"/>
      <c r="N95" s="35"/>
      <c r="O95" s="36" t="s">
        <v>462</v>
      </c>
      <c r="P95" s="36" t="s">
        <v>83</v>
      </c>
      <c r="Q95" s="36" t="s">
        <v>27</v>
      </c>
      <c r="R95" s="36" t="s">
        <v>463</v>
      </c>
      <c r="S95" s="36"/>
      <c r="T95" s="35"/>
      <c r="U95" s="37" t="s">
        <v>31</v>
      </c>
      <c r="V95" s="171" t="s">
        <v>464</v>
      </c>
      <c r="W95" s="174" t="s">
        <v>465</v>
      </c>
      <c r="X95" s="173"/>
      <c r="Z95" s="165" t="str">
        <f>IFERROR(__xludf.DUMMYFUNCTION("""COMPUTED_VALUE"""),"Unraveling the Performance of All-Inorganic Lead-Free CsSnI3-Based Perovskite Photovoltaic with Graphene Oxide Hole Transport Layer")</f>
        <v>Unraveling the Performance of All-Inorganic Lead-Free CsSnI3-Based Perovskite Photovoltaic with Graphene Oxide Hole Transport Layer</v>
      </c>
      <c r="AA95" s="165" t="str">
        <f>IFERROR(__xludf.DUMMYFUNCTION("""COMPUTED_VALUE"""),"Published")</f>
        <v>Published</v>
      </c>
      <c r="AB95" s="165"/>
      <c r="AC95" s="166" t="str">
        <f>IFERROR(__xludf.DUMMYFUNCTION("""COMPUTED_VALUE"""),"https://doi.org/10.1002/adts.202300610")</f>
        <v>https://doi.org/10.1002/adts.202300610</v>
      </c>
    </row>
    <row r="96" ht="15.75" customHeight="1">
      <c r="A96" s="131">
        <v>91.0</v>
      </c>
      <c r="B96" s="58" t="str">
        <f t="shared" si="2"/>
        <v/>
      </c>
      <c r="C96" s="136"/>
      <c r="D96" s="47"/>
      <c r="E96" s="175"/>
      <c r="F96" s="176"/>
      <c r="G96" s="176"/>
      <c r="H96" s="35"/>
      <c r="I96" s="35"/>
      <c r="J96" s="35"/>
      <c r="K96" s="35"/>
      <c r="L96" s="35"/>
      <c r="M96" s="35"/>
      <c r="N96" s="35"/>
      <c r="O96" s="35"/>
      <c r="P96" s="35"/>
      <c r="Q96" s="35"/>
      <c r="R96" s="147"/>
      <c r="S96" s="35"/>
      <c r="T96" s="35"/>
      <c r="U96" s="37" t="s">
        <v>31</v>
      </c>
      <c r="V96" s="167"/>
      <c r="W96" s="168"/>
      <c r="X96" s="50"/>
      <c r="Z96" s="165" t="str">
        <f>IFERROR(__xludf.DUMMYFUNCTION("""COMPUTED_VALUE"""),"A scientific expertise classification model based on experts’ self-claims using the semantic and the TF-IDF approach")</f>
        <v>A scientific expertise classification model based on experts’ self-claims using the semantic and the TF-IDF approach</v>
      </c>
      <c r="AA96" s="165" t="str">
        <f>IFERROR(__xludf.DUMMYFUNCTION("""COMPUTED_VALUE"""),"Published")</f>
        <v>Published</v>
      </c>
      <c r="AB96" s="165"/>
      <c r="AC96" s="166" t="str">
        <f>IFERROR(__xludf.DUMMYFUNCTION("""COMPUTED_VALUE"""),"https://doi.org/10.1145/3575882.3575940")</f>
        <v>https://doi.org/10.1145/3575882.3575940</v>
      </c>
    </row>
    <row r="97" ht="15.75" customHeight="1">
      <c r="A97" s="131">
        <v>92.0</v>
      </c>
      <c r="B97" s="58" t="str">
        <f t="shared" si="2"/>
        <v/>
      </c>
      <c r="C97" s="136"/>
      <c r="D97" s="47"/>
      <c r="E97" s="175"/>
      <c r="F97" s="176"/>
      <c r="G97" s="176"/>
      <c r="H97" s="35"/>
      <c r="I97" s="35"/>
      <c r="J97" s="35"/>
      <c r="K97" s="35"/>
      <c r="L97" s="35"/>
      <c r="M97" s="35"/>
      <c r="N97" s="35"/>
      <c r="O97" s="35"/>
      <c r="P97" s="35"/>
      <c r="Q97" s="35"/>
      <c r="R97" s="147"/>
      <c r="S97" s="35"/>
      <c r="T97" s="35"/>
      <c r="U97" s="37" t="s">
        <v>31</v>
      </c>
      <c r="V97" s="170"/>
      <c r="W97" s="168"/>
      <c r="X97" s="50"/>
      <c r="Z97" s="165" t="str">
        <f>IFERROR(__xludf.DUMMYFUNCTION("""COMPUTED_VALUE"""),"Location extraction from Traffic Event-related Text")</f>
        <v>Location extraction from Traffic Event-related Text</v>
      </c>
      <c r="AA97" s="165" t="str">
        <f>IFERROR(__xludf.DUMMYFUNCTION("""COMPUTED_VALUE"""),"Published")</f>
        <v>Published</v>
      </c>
      <c r="AB97" s="165"/>
      <c r="AC97" s="166" t="str">
        <f>IFERROR(__xludf.DUMMYFUNCTION("""COMPUTED_VALUE"""),"https://doi.org/10.1145/3575882.3575946")</f>
        <v>https://doi.org/10.1145/3575882.3575946</v>
      </c>
    </row>
    <row r="98" ht="15.75" customHeight="1">
      <c r="A98" s="131">
        <v>93.0</v>
      </c>
      <c r="B98" s="58" t="str">
        <f t="shared" si="2"/>
        <v/>
      </c>
      <c r="C98" s="136"/>
      <c r="D98" s="98"/>
      <c r="E98" s="177"/>
      <c r="F98" s="176"/>
      <c r="G98" s="176"/>
      <c r="H98" s="35"/>
      <c r="I98" s="35"/>
      <c r="J98" s="35"/>
      <c r="K98" s="35"/>
      <c r="L98" s="35"/>
      <c r="M98" s="35"/>
      <c r="N98" s="35"/>
      <c r="O98" s="35"/>
      <c r="P98" s="35"/>
      <c r="Q98" s="35"/>
      <c r="R98" s="167"/>
      <c r="S98" s="35"/>
      <c r="T98" s="35"/>
      <c r="U98" s="37" t="s">
        <v>31</v>
      </c>
      <c r="V98" s="167"/>
      <c r="W98" s="168"/>
      <c r="X98" s="173"/>
      <c r="Z98" s="165" t="str">
        <f>IFERROR(__xludf.DUMMYFUNCTION("""COMPUTED_VALUE"""),"A Generalization of Sigmoid Loss Function Using Tsallis Statistics for Binary Classification")</f>
        <v>A Generalization of Sigmoid Loss Function Using Tsallis Statistics for Binary Classification</v>
      </c>
      <c r="AA98" s="165" t="str">
        <f>IFERROR(__xludf.DUMMYFUNCTION("""COMPUTED_VALUE"""),"Published")</f>
        <v>Published</v>
      </c>
      <c r="AB98" s="165"/>
      <c r="AC98" s="166" t="str">
        <f>IFERROR(__xludf.DUMMYFUNCTION("""COMPUTED_VALUE"""),"https://doi.org/10.1007/s11063-022-11087-y")</f>
        <v>https://doi.org/10.1007/s11063-022-11087-y</v>
      </c>
    </row>
    <row r="99" ht="15.75" customHeight="1">
      <c r="A99" s="131">
        <v>94.0</v>
      </c>
      <c r="B99" s="58" t="str">
        <f t="shared" si="2"/>
        <v/>
      </c>
      <c r="C99" s="81"/>
      <c r="D99" s="47"/>
      <c r="E99" s="175"/>
      <c r="F99" s="176"/>
      <c r="G99" s="176"/>
      <c r="H99" s="35"/>
      <c r="I99" s="35"/>
      <c r="J99" s="35"/>
      <c r="K99" s="35"/>
      <c r="L99" s="35"/>
      <c r="M99" s="35"/>
      <c r="N99" s="35"/>
      <c r="O99" s="35"/>
      <c r="P99" s="35"/>
      <c r="Q99" s="35"/>
      <c r="R99" s="167"/>
      <c r="S99" s="35"/>
      <c r="T99" s="35"/>
      <c r="U99" s="37" t="s">
        <v>31</v>
      </c>
      <c r="V99" s="167"/>
      <c r="W99" s="168"/>
      <c r="X99" s="50"/>
      <c r="Z99" s="165" t="str">
        <f>IFERROR(__xludf.DUMMYFUNCTION("""COMPUTED_VALUE"""),"Literature Review on Integrating Generalized Space-Time Autoregressive Integrated Moving Average (GSTARIMA) and Deep Neural Networks in Machine Learning for Climate Forecasting")</f>
        <v>Literature Review on Integrating Generalized Space-Time Autoregressive Integrated Moving Average (GSTARIMA) and Deep Neural Networks in Machine Learning for Climate Forecasting</v>
      </c>
      <c r="AA99" s="165" t="str">
        <f>IFERROR(__xludf.DUMMYFUNCTION("""COMPUTED_VALUE"""),"Published")</f>
        <v>Published</v>
      </c>
      <c r="AB99" s="165"/>
      <c r="AC99" s="166" t="str">
        <f>IFERROR(__xludf.DUMMYFUNCTION("""COMPUTED_VALUE"""),"https://doi.org/10.3390/math11132975")</f>
        <v>https://doi.org/10.3390/math11132975</v>
      </c>
    </row>
    <row r="100" ht="15.75" customHeight="1">
      <c r="A100" s="131">
        <v>95.0</v>
      </c>
      <c r="B100" s="58" t="str">
        <f t="shared" si="2"/>
        <v/>
      </c>
      <c r="C100" s="136"/>
      <c r="D100" s="47"/>
      <c r="E100" s="175"/>
      <c r="F100" s="176"/>
      <c r="G100" s="176"/>
      <c r="H100" s="35"/>
      <c r="I100" s="35"/>
      <c r="J100" s="35"/>
      <c r="K100" s="35"/>
      <c r="L100" s="35"/>
      <c r="M100" s="35"/>
      <c r="N100" s="35"/>
      <c r="O100" s="35"/>
      <c r="P100" s="35"/>
      <c r="Q100" s="35"/>
      <c r="R100" s="178"/>
      <c r="S100" s="35"/>
      <c r="T100" s="35"/>
      <c r="U100" s="37" t="s">
        <v>31</v>
      </c>
      <c r="V100" s="170"/>
      <c r="W100" s="168"/>
      <c r="X100" s="50"/>
      <c r="Z100" s="165" t="str">
        <f>IFERROR(__xludf.DUMMYFUNCTION("""COMPUTED_VALUE"""),"Data Analytics of Climate Using the PCA-VARI Model Case Study in West Java, Indonesia")</f>
        <v>Data Analytics of Climate Using the PCA-VARI Model Case Study in West Java, Indonesia</v>
      </c>
      <c r="AA100" s="165" t="str">
        <f>IFERROR(__xludf.DUMMYFUNCTION("""COMPUTED_VALUE"""),"Published")</f>
        <v>Published</v>
      </c>
      <c r="AB100" s="165"/>
      <c r="AC100" s="166" t="str">
        <f>IFERROR(__xludf.DUMMYFUNCTION("""COMPUTED_VALUE"""),"https://doi.org/10.1007/978-3-031-34207-3_18")</f>
        <v>https://doi.org/10.1007/978-3-031-34207-3_18</v>
      </c>
    </row>
    <row r="101" ht="15.75" customHeight="1">
      <c r="A101" s="131">
        <v>96.0</v>
      </c>
      <c r="B101" s="58" t="str">
        <f t="shared" si="2"/>
        <v/>
      </c>
      <c r="C101" s="136"/>
      <c r="D101" s="47"/>
      <c r="E101" s="175"/>
      <c r="F101" s="176"/>
      <c r="G101" s="176"/>
      <c r="H101" s="35"/>
      <c r="I101" s="35"/>
      <c r="J101" s="35"/>
      <c r="K101" s="35"/>
      <c r="L101" s="35"/>
      <c r="M101" s="35"/>
      <c r="N101" s="35"/>
      <c r="O101" s="35"/>
      <c r="P101" s="35"/>
      <c r="Q101" s="35"/>
      <c r="R101" s="167"/>
      <c r="S101" s="35"/>
      <c r="T101" s="35"/>
      <c r="U101" s="37" t="s">
        <v>31</v>
      </c>
      <c r="V101" s="167"/>
      <c r="W101" s="168"/>
      <c r="X101" s="50"/>
      <c r="Z101" s="165" t="str">
        <f>IFERROR(__xludf.DUMMYFUNCTION("""COMPUTED_VALUE"""),"An Indonesian Adaption of Visual Aesthetics of Website Inventory (VisAWI) Questionnaire for Evaluating Video Game User Interface")</f>
        <v>An Indonesian Adaption of Visual Aesthetics of Website Inventory (VisAWI) Questionnaire for Evaluating Video Game User Interface</v>
      </c>
      <c r="AA101" s="165" t="str">
        <f>IFERROR(__xludf.DUMMYFUNCTION("""COMPUTED_VALUE"""),"Published")</f>
        <v>Published</v>
      </c>
      <c r="AB101" s="165"/>
      <c r="AC101" s="166" t="str">
        <f>IFERROR(__xludf.DUMMYFUNCTION("""COMPUTED_VALUE"""),"https://doi.org/10.1145/3575882.3575956")</f>
        <v>https://doi.org/10.1145/3575882.3575956</v>
      </c>
    </row>
    <row r="102" ht="15.75" customHeight="1">
      <c r="A102" s="131">
        <v>97.0</v>
      </c>
      <c r="B102" s="58" t="str">
        <f t="shared" si="2"/>
        <v/>
      </c>
      <c r="C102" s="136"/>
      <c r="D102" s="47"/>
      <c r="E102" s="175"/>
      <c r="F102" s="176"/>
      <c r="G102" s="176"/>
      <c r="H102" s="35"/>
      <c r="I102" s="35"/>
      <c r="J102" s="35"/>
      <c r="K102" s="35"/>
      <c r="L102" s="35"/>
      <c r="M102" s="35"/>
      <c r="N102" s="35"/>
      <c r="O102" s="35"/>
      <c r="P102" s="35"/>
      <c r="Q102" s="35"/>
      <c r="R102" s="167"/>
      <c r="S102" s="35"/>
      <c r="T102" s="35"/>
      <c r="U102" s="37" t="s">
        <v>31</v>
      </c>
      <c r="V102" s="167"/>
      <c r="W102" s="168"/>
      <c r="X102" s="173"/>
      <c r="Z102" s="165" t="str">
        <f>IFERROR(__xludf.DUMMYFUNCTION("""COMPUTED_VALUE"""),"Monitoring Indonesian Online News for COVID-19 Event Detection using Deep Learning")</f>
        <v>Monitoring Indonesian Online News for COVID-19 Event Detection using Deep Learning</v>
      </c>
      <c r="AA102" s="165" t="str">
        <f>IFERROR(__xludf.DUMMYFUNCTION("""COMPUTED_VALUE"""),"Published")</f>
        <v>Published</v>
      </c>
      <c r="AB102" s="165"/>
      <c r="AC102" s="166" t="str">
        <f>IFERROR(__xludf.DUMMYFUNCTION("""COMPUTED_VALUE"""),"http://doi.org/10.11591/ijece.v13i1.pp957-971")</f>
        <v>http://doi.org/10.11591/ijece.v13i1.pp957-971</v>
      </c>
    </row>
    <row r="103" ht="15.75" customHeight="1">
      <c r="A103" s="131">
        <v>98.0</v>
      </c>
      <c r="B103" s="58" t="str">
        <f t="shared" si="2"/>
        <v/>
      </c>
      <c r="C103" s="179"/>
      <c r="D103" s="47"/>
      <c r="E103" s="175"/>
      <c r="F103" s="176"/>
      <c r="G103" s="176"/>
      <c r="H103" s="35"/>
      <c r="I103" s="35"/>
      <c r="J103" s="35"/>
      <c r="K103" s="35"/>
      <c r="L103" s="35"/>
      <c r="M103" s="35"/>
      <c r="N103" s="35"/>
      <c r="O103" s="35"/>
      <c r="P103" s="35"/>
      <c r="Q103" s="35"/>
      <c r="R103" s="167"/>
      <c r="S103" s="35"/>
      <c r="T103" s="35"/>
      <c r="U103" s="37" t="s">
        <v>31</v>
      </c>
      <c r="V103" s="167"/>
      <c r="W103" s="168"/>
      <c r="X103" s="173"/>
      <c r="Z103" s="165" t="str">
        <f>IFERROR(__xludf.DUMMYFUNCTION("""COMPUTED_VALUE"""),"Engagement Analysis on Local Small-Medium Enterprises: Case Study in Bandung")</f>
        <v>Engagement Analysis on Local Small-Medium Enterprises: Case Study in Bandung</v>
      </c>
      <c r="AA103" s="165" t="str">
        <f>IFERROR(__xludf.DUMMYFUNCTION("""COMPUTED_VALUE"""),"Published")</f>
        <v>Published</v>
      </c>
      <c r="AB103" s="165"/>
      <c r="AC103" s="166" t="str">
        <f>IFERROR(__xludf.DUMMYFUNCTION("""COMPUTED_VALUE"""),"https://doi.org/10.1145/3575882.3575944")</f>
        <v>https://doi.org/10.1145/3575882.3575944</v>
      </c>
    </row>
    <row r="104" ht="15.75" customHeight="1">
      <c r="A104" s="131">
        <v>99.0</v>
      </c>
      <c r="B104" s="58" t="str">
        <f t="shared" si="2"/>
        <v/>
      </c>
      <c r="C104" s="179"/>
      <c r="D104" s="47"/>
      <c r="E104" s="175"/>
      <c r="F104" s="176"/>
      <c r="G104" s="176"/>
      <c r="H104" s="35"/>
      <c r="I104" s="35"/>
      <c r="J104" s="35"/>
      <c r="K104" s="35"/>
      <c r="L104" s="35"/>
      <c r="M104" s="35"/>
      <c r="N104" s="35"/>
      <c r="O104" s="35"/>
      <c r="P104" s="35"/>
      <c r="Q104" s="35"/>
      <c r="R104" s="180"/>
      <c r="S104" s="35"/>
      <c r="T104" s="35"/>
      <c r="U104" s="37" t="s">
        <v>31</v>
      </c>
      <c r="V104" s="167"/>
      <c r="W104" s="168"/>
      <c r="X104" s="173"/>
      <c r="Z104" s="165" t="str">
        <f>IFERROR(__xludf.DUMMYFUNCTION("""COMPUTED_VALUE"""),"Synonym-based Text Generation in Restructuring Imbalanced Dataset for Deep Learning Models")</f>
        <v>Synonym-based Text Generation in Restructuring Imbalanced Dataset for Deep Learning Models</v>
      </c>
      <c r="AA104" s="165" t="str">
        <f>IFERROR(__xludf.DUMMYFUNCTION("""COMPUTED_VALUE"""),"Published")</f>
        <v>Published</v>
      </c>
      <c r="AB104" s="165"/>
      <c r="AC104" s="166" t="str">
        <f>IFERROR(__xludf.DUMMYFUNCTION("""COMPUTED_VALUE"""),"https://doi.org/10.1109/NISS55057.2022.10085156")</f>
        <v>https://doi.org/10.1109/NISS55057.2022.10085156</v>
      </c>
    </row>
    <row r="105" ht="15.75" customHeight="1">
      <c r="A105" s="131">
        <v>100.0</v>
      </c>
      <c r="B105" s="58" t="str">
        <f t="shared" si="2"/>
        <v/>
      </c>
      <c r="C105" s="179"/>
      <c r="D105" s="47"/>
      <c r="E105" s="175"/>
      <c r="F105" s="176"/>
      <c r="G105" s="176"/>
      <c r="H105" s="35"/>
      <c r="I105" s="35"/>
      <c r="J105" s="35"/>
      <c r="K105" s="35"/>
      <c r="L105" s="35"/>
      <c r="M105" s="35"/>
      <c r="N105" s="35"/>
      <c r="O105" s="35"/>
      <c r="P105" s="35"/>
      <c r="Q105" s="35"/>
      <c r="R105" s="181"/>
      <c r="S105" s="35"/>
      <c r="T105" s="35"/>
      <c r="U105" s="37" t="s">
        <v>31</v>
      </c>
      <c r="V105" s="167"/>
      <c r="W105" s="168"/>
      <c r="X105" s="173"/>
      <c r="Z105" s="165" t="str">
        <f>IFERROR(__xludf.DUMMYFUNCTION("""COMPUTED_VALUE"""),"The Investigation into Deep Learning Classifiers Towards Imbalanced Text Data")</f>
        <v>The Investigation into Deep Learning Classifiers Towards Imbalanced Text Data</v>
      </c>
      <c r="AA105" s="165" t="str">
        <f>IFERROR(__xludf.DUMMYFUNCTION("""COMPUTED_VALUE"""),"Published")</f>
        <v>Published</v>
      </c>
      <c r="AB105" s="165"/>
      <c r="AC105" s="166" t="str">
        <f>IFERROR(__xludf.DUMMYFUNCTION("""COMPUTED_VALUE"""),"https://doi.org/10.1109/NISS55057.2022.10085611")</f>
        <v>https://doi.org/10.1109/NISS55057.2022.10085611</v>
      </c>
    </row>
    <row r="106" ht="15.75" customHeight="1">
      <c r="A106" s="131">
        <v>101.0</v>
      </c>
      <c r="B106" s="58" t="str">
        <f t="shared" si="2"/>
        <v/>
      </c>
      <c r="C106" s="179"/>
      <c r="D106" s="47"/>
      <c r="E106" s="175"/>
      <c r="F106" s="176"/>
      <c r="G106" s="176"/>
      <c r="H106" s="35"/>
      <c r="I106" s="35"/>
      <c r="J106" s="35"/>
      <c r="K106" s="35"/>
      <c r="L106" s="35"/>
      <c r="M106" s="35"/>
      <c r="N106" s="35"/>
      <c r="O106" s="35"/>
      <c r="P106" s="35"/>
      <c r="Q106" s="35"/>
      <c r="R106" s="181"/>
      <c r="S106" s="35"/>
      <c r="T106" s="35"/>
      <c r="U106" s="37" t="s">
        <v>31</v>
      </c>
      <c r="V106" s="167"/>
      <c r="W106" s="168"/>
      <c r="X106" s="173"/>
      <c r="Z106" s="165" t="str">
        <f>IFERROR(__xludf.DUMMYFUNCTION("""COMPUTED_VALUE"""),"Assisting Crowdsourced Data Collection by using Data Mining Algorithms")</f>
        <v>Assisting Crowdsourced Data Collection by using Data Mining Algorithms</v>
      </c>
      <c r="AA106" s="165" t="str">
        <f>IFERROR(__xludf.DUMMYFUNCTION("""COMPUTED_VALUE"""),"Published")</f>
        <v>Published</v>
      </c>
      <c r="AB106" s="165"/>
      <c r="AC106" s="166" t="str">
        <f>IFERROR(__xludf.DUMMYFUNCTION("""COMPUTED_VALUE"""),"https://doi.org/10.1109/IC3INA60834.2023.10285735")</f>
        <v>https://doi.org/10.1109/IC3INA60834.2023.10285735</v>
      </c>
    </row>
    <row r="107" ht="15.75" customHeight="1">
      <c r="A107" s="131">
        <v>102.0</v>
      </c>
      <c r="B107" s="58" t="str">
        <f t="shared" si="2"/>
        <v/>
      </c>
      <c r="C107" s="136"/>
      <c r="D107" s="47"/>
      <c r="E107" s="175"/>
      <c r="F107" s="176"/>
      <c r="G107" s="176"/>
      <c r="H107" s="35"/>
      <c r="I107" s="35"/>
      <c r="J107" s="35"/>
      <c r="K107" s="35"/>
      <c r="L107" s="35"/>
      <c r="M107" s="35"/>
      <c r="N107" s="35"/>
      <c r="O107" s="35"/>
      <c r="P107" s="35"/>
      <c r="Q107" s="35"/>
      <c r="R107" s="181"/>
      <c r="S107" s="35"/>
      <c r="T107" s="35"/>
      <c r="U107" s="37" t="s">
        <v>31</v>
      </c>
      <c r="V107" s="167"/>
      <c r="W107" s="168"/>
      <c r="X107" s="173"/>
      <c r="Z107" s="165" t="str">
        <f>IFERROR(__xludf.DUMMYFUNCTION("""COMPUTED_VALUE"""),"Classification Model for Assessing Micro and Small Enterprises'Awareness Level towards Halal Certification Adoption")</f>
        <v>Classification Model for Assessing Micro and Small Enterprises'Awareness Level towards Halal Certification Adoption</v>
      </c>
      <c r="AA107" s="165" t="str">
        <f>IFERROR(__xludf.DUMMYFUNCTION("""COMPUTED_VALUE"""),"Published")</f>
        <v>Published</v>
      </c>
      <c r="AB107" s="165"/>
      <c r="AC107" s="166" t="str">
        <f>IFERROR(__xludf.DUMMYFUNCTION("""COMPUTED_VALUE"""),"https://doi.org/10.1109/IC3INA60834.2023.10285757")</f>
        <v>https://doi.org/10.1109/IC3INA60834.2023.10285757</v>
      </c>
    </row>
    <row r="108" ht="15.75" customHeight="1">
      <c r="A108" s="131">
        <v>103.0</v>
      </c>
      <c r="B108" s="58" t="str">
        <f t="shared" si="2"/>
        <v/>
      </c>
      <c r="C108" s="81"/>
      <c r="D108" s="98"/>
      <c r="E108" s="177"/>
      <c r="F108" s="176"/>
      <c r="G108" s="176"/>
      <c r="H108" s="35"/>
      <c r="I108" s="35"/>
      <c r="J108" s="35"/>
      <c r="K108" s="35"/>
      <c r="L108" s="35"/>
      <c r="M108" s="35"/>
      <c r="N108" s="35"/>
      <c r="O108" s="35"/>
      <c r="P108" s="35"/>
      <c r="Q108" s="35"/>
      <c r="R108" s="180"/>
      <c r="S108" s="35"/>
      <c r="T108" s="35"/>
      <c r="U108" s="37" t="s">
        <v>31</v>
      </c>
      <c r="V108" s="167"/>
      <c r="W108" s="168"/>
      <c r="X108" s="50"/>
      <c r="Z108" s="165" t="str">
        <f>IFERROR(__xludf.DUMMYFUNCTION("""COMPUTED_VALUE"""),"Crowdfunding for IKN: Potential, Risk, and the People’s Perception")</f>
        <v>Crowdfunding for IKN: Potential, Risk, and the People’s Perception</v>
      </c>
      <c r="AA108" s="165" t="str">
        <f>IFERROR(__xludf.DUMMYFUNCTION("""COMPUTED_VALUE"""),"Published")</f>
        <v>Published</v>
      </c>
      <c r="AB108" s="165"/>
      <c r="AC108" s="165" t="str">
        <f>IFERROR(__xludf.DUMMYFUNCTION("""COMPUTED_VALUE"""),"ISBN: 9789815104233")</f>
        <v>ISBN: 9789815104233</v>
      </c>
    </row>
    <row r="109" ht="15.75" customHeight="1">
      <c r="A109" s="131">
        <v>104.0</v>
      </c>
      <c r="B109" s="58" t="str">
        <f t="shared" si="2"/>
        <v/>
      </c>
      <c r="C109" s="81"/>
      <c r="D109" s="47"/>
      <c r="E109" s="175"/>
      <c r="F109" s="176"/>
      <c r="G109" s="176"/>
      <c r="H109" s="35"/>
      <c r="I109" s="35"/>
      <c r="J109" s="35"/>
      <c r="K109" s="35"/>
      <c r="L109" s="35"/>
      <c r="M109" s="35"/>
      <c r="N109" s="35"/>
      <c r="O109" s="35"/>
      <c r="P109" s="35"/>
      <c r="Q109" s="35"/>
      <c r="R109" s="180"/>
      <c r="S109" s="35"/>
      <c r="T109" s="35"/>
      <c r="U109" s="37" t="s">
        <v>31</v>
      </c>
      <c r="V109" s="167"/>
      <c r="W109" s="168"/>
      <c r="X109" s="50"/>
      <c r="Z109" s="165" t="str">
        <f>IFERROR(__xludf.DUMMYFUNCTION("""COMPUTED_VALUE"""),"Generate Fuzzy String-Matching to Build Self Attention on IM-Chatbot")</f>
        <v>Generate Fuzzy String-Matching to Build Self Attention on IM-Chatbot</v>
      </c>
      <c r="AA109" s="165" t="str">
        <f>IFERROR(__xludf.DUMMYFUNCTION("""COMPUTED_VALUE"""),"Published")</f>
        <v>Published</v>
      </c>
      <c r="AB109" s="165"/>
      <c r="AC109" s="166" t="str">
        <f>IFERROR(__xludf.DUMMYFUNCTION("""COMPUTED_VALUE"""),"http://doi.org/10.11591/ijece.v14i1.pp819-829")</f>
        <v>http://doi.org/10.11591/ijece.v14i1.pp819-829</v>
      </c>
    </row>
    <row r="110" ht="15.75" customHeight="1">
      <c r="A110" s="131">
        <v>105.0</v>
      </c>
      <c r="B110" s="58" t="str">
        <f t="shared" si="2"/>
        <v/>
      </c>
      <c r="C110" s="182"/>
      <c r="D110" s="47"/>
      <c r="E110" s="175"/>
      <c r="F110" s="176"/>
      <c r="G110" s="176"/>
      <c r="H110" s="35"/>
      <c r="I110" s="35"/>
      <c r="J110" s="35"/>
      <c r="K110" s="35"/>
      <c r="L110" s="35"/>
      <c r="M110" s="35"/>
      <c r="N110" s="35"/>
      <c r="O110" s="35"/>
      <c r="P110" s="35"/>
      <c r="Q110" s="35"/>
      <c r="R110" s="178"/>
      <c r="S110" s="35"/>
      <c r="T110" s="35"/>
      <c r="U110" s="37" t="s">
        <v>31</v>
      </c>
      <c r="V110" s="167"/>
      <c r="W110" s="168"/>
      <c r="X110" s="50"/>
      <c r="Z110" s="165" t="str">
        <f>IFERROR(__xludf.DUMMYFUNCTION("""COMPUTED_VALUE"""),"Segmentation Combination Method for Corrective Action Recommendation")</f>
        <v>Segmentation Combination Method for Corrective Action Recommendation</v>
      </c>
      <c r="AA110" s="165" t="str">
        <f>IFERROR(__xludf.DUMMYFUNCTION("""COMPUTED_VALUE"""),"Published")</f>
        <v>Published</v>
      </c>
      <c r="AB110" s="165"/>
      <c r="AC110" s="166" t="str">
        <f>IFERROR(__xludf.DUMMYFUNCTION("""COMPUTED_VALUE"""),"https://doi.org/10.1109/IC3INA60834.2023.10285803")</f>
        <v>https://doi.org/10.1109/IC3INA60834.2023.10285803</v>
      </c>
    </row>
    <row r="111" ht="15.75" customHeight="1">
      <c r="A111" s="131">
        <v>106.0</v>
      </c>
      <c r="B111" s="58" t="str">
        <f t="shared" si="2"/>
        <v/>
      </c>
      <c r="C111" s="182"/>
      <c r="D111" s="47"/>
      <c r="E111" s="175"/>
      <c r="F111" s="176"/>
      <c r="G111" s="176"/>
      <c r="H111" s="35"/>
      <c r="I111" s="35"/>
      <c r="J111" s="35"/>
      <c r="K111" s="35"/>
      <c r="L111" s="35"/>
      <c r="M111" s="35"/>
      <c r="N111" s="35"/>
      <c r="O111" s="35"/>
      <c r="P111" s="35"/>
      <c r="Q111" s="35"/>
      <c r="R111" s="181"/>
      <c r="S111" s="35"/>
      <c r="T111" s="35"/>
      <c r="U111" s="37" t="s">
        <v>31</v>
      </c>
      <c r="V111" s="167"/>
      <c r="W111" s="168"/>
      <c r="X111" s="50"/>
      <c r="Z111" s="165" t="str">
        <f>IFERROR(__xludf.DUMMYFUNCTION("""COMPUTED_VALUE"""),"Revealing Indonesian Netizens' Sentiments Towards Halal Food: A Machine Learning Approach")</f>
        <v>Revealing Indonesian Netizens' Sentiments Towards Halal Food: A Machine Learning Approach</v>
      </c>
      <c r="AA111" s="165" t="str">
        <f>IFERROR(__xludf.DUMMYFUNCTION("""COMPUTED_VALUE"""),"Published")</f>
        <v>Published</v>
      </c>
      <c r="AB111" s="165"/>
      <c r="AC111" s="166" t="str">
        <f>IFERROR(__xludf.DUMMYFUNCTION("""COMPUTED_VALUE"""),"https://doi.org/10.1109/IC3INA60834.2023.10285754")</f>
        <v>https://doi.org/10.1109/IC3INA60834.2023.10285754</v>
      </c>
    </row>
    <row r="112" ht="15.75" customHeight="1">
      <c r="A112" s="131">
        <v>107.0</v>
      </c>
      <c r="B112" s="58" t="str">
        <f t="shared" si="2"/>
        <v/>
      </c>
      <c r="C112" s="136"/>
      <c r="D112" s="98"/>
      <c r="E112" s="177"/>
      <c r="F112" s="176"/>
      <c r="G112" s="176"/>
      <c r="H112" s="35"/>
      <c r="I112" s="35"/>
      <c r="J112" s="35"/>
      <c r="K112" s="35"/>
      <c r="L112" s="35"/>
      <c r="M112" s="35"/>
      <c r="N112" s="35"/>
      <c r="O112" s="35"/>
      <c r="P112" s="35"/>
      <c r="Q112" s="35"/>
      <c r="R112" s="183"/>
      <c r="S112" s="35"/>
      <c r="T112" s="35"/>
      <c r="U112" s="37" t="s">
        <v>31</v>
      </c>
      <c r="V112" s="167"/>
      <c r="W112" s="184"/>
      <c r="X112" s="173"/>
      <c r="Z112" s="165" t="str">
        <f>IFERROR(__xludf.DUMMYFUNCTION("""COMPUTED_VALUE"""),"The spatial distribution of a comprehensive drought risk index in Java, Indonesia")</f>
        <v>The spatial distribution of a comprehensive drought risk index in Java, Indonesia</v>
      </c>
      <c r="AA112" s="165" t="str">
        <f>IFERROR(__xludf.DUMMYFUNCTION("""COMPUTED_VALUE"""),"Published")</f>
        <v>Published</v>
      </c>
      <c r="AB112" s="165"/>
      <c r="AC112" s="166" t="str">
        <f>IFERROR(__xludf.DUMMYFUNCTION("""COMPUTED_VALUE"""),"https://doi.org/10.1016/j.kjs.2023.02.031")</f>
        <v>https://doi.org/10.1016/j.kjs.2023.02.031</v>
      </c>
    </row>
    <row r="113" ht="15.75" customHeight="1">
      <c r="A113" s="131">
        <v>108.0</v>
      </c>
      <c r="B113" s="58" t="str">
        <f t="shared" si="2"/>
        <v/>
      </c>
      <c r="C113" s="136"/>
      <c r="D113" s="47"/>
      <c r="E113" s="175"/>
      <c r="F113" s="176"/>
      <c r="G113" s="176"/>
      <c r="H113" s="35"/>
      <c r="I113" s="35"/>
      <c r="J113" s="35"/>
      <c r="K113" s="35"/>
      <c r="L113" s="35"/>
      <c r="M113" s="35"/>
      <c r="N113" s="35"/>
      <c r="O113" s="35"/>
      <c r="P113" s="35"/>
      <c r="Q113" s="35"/>
      <c r="R113" s="35"/>
      <c r="S113" s="35"/>
      <c r="T113" s="35"/>
      <c r="U113" s="37" t="s">
        <v>31</v>
      </c>
      <c r="V113" s="167"/>
      <c r="W113" s="168"/>
      <c r="X113" s="173"/>
      <c r="Z113" s="165" t="str">
        <f>IFERROR(__xludf.DUMMYFUNCTION("""COMPUTED_VALUE"""),"Leveraging BERTopic for the Analysis of Scientific Papers on Seaweed")</f>
        <v>Leveraging BERTopic for the Analysis of Scientific Papers on Seaweed</v>
      </c>
      <c r="AA113" s="165" t="str">
        <f>IFERROR(__xludf.DUMMYFUNCTION("""COMPUTED_VALUE"""),"Published")</f>
        <v>Published</v>
      </c>
      <c r="AB113" s="165"/>
      <c r="AC113" s="166" t="str">
        <f>IFERROR(__xludf.DUMMYFUNCTION("""COMPUTED_VALUE"""),"https://doi.org/10.1109/IC3INA60834.2023.10285737")</f>
        <v>https://doi.org/10.1109/IC3INA60834.2023.10285737</v>
      </c>
    </row>
    <row r="114" ht="15.75" customHeight="1">
      <c r="A114" s="131">
        <v>109.0</v>
      </c>
      <c r="B114" s="58" t="str">
        <f t="shared" si="2"/>
        <v/>
      </c>
      <c r="C114" s="81"/>
      <c r="D114" s="47"/>
      <c r="E114" s="175"/>
      <c r="F114" s="176"/>
      <c r="G114" s="176"/>
      <c r="H114" s="35"/>
      <c r="I114" s="35"/>
      <c r="J114" s="35"/>
      <c r="K114" s="35"/>
      <c r="L114" s="35"/>
      <c r="M114" s="35"/>
      <c r="N114" s="35"/>
      <c r="O114" s="35"/>
      <c r="P114" s="35"/>
      <c r="Q114" s="35"/>
      <c r="R114" s="35"/>
      <c r="S114" s="35"/>
      <c r="T114" s="35"/>
      <c r="U114" s="37" t="s">
        <v>31</v>
      </c>
      <c r="V114" s="167"/>
      <c r="W114" s="168"/>
      <c r="X114" s="50"/>
      <c r="Z114" s="165" t="str">
        <f>IFERROR(__xludf.DUMMYFUNCTION("""COMPUTED_VALUE"""),"The Perils of Social Media: How Cancel Culture is Shaping The Next Presidential Indonesia Election (Chapter 7)")</f>
        <v>The Perils of Social Media: How Cancel Culture is Shaping The Next Presidential Indonesia Election (Chapter 7)</v>
      </c>
      <c r="AA114" s="165" t="str">
        <f>IFERROR(__xludf.DUMMYFUNCTION("""COMPUTED_VALUE"""),"Published")</f>
        <v>Published</v>
      </c>
      <c r="AB114" s="165"/>
      <c r="AC114" s="165" t="str">
        <f>IFERROR(__xludf.DUMMYFUNCTION("""COMPUTED_VALUE"""),"""2023 - Google Drive
 https://www.amazon.com/dp/B0CJ3FPPMN""")</f>
        <v>"2023 - Google Drive
 https://www.amazon.com/dp/B0CJ3FPPMN"</v>
      </c>
    </row>
    <row r="115" ht="15.75" customHeight="1">
      <c r="A115" s="131">
        <v>110.0</v>
      </c>
      <c r="B115" s="58" t="str">
        <f t="shared" si="2"/>
        <v/>
      </c>
      <c r="C115" s="81"/>
      <c r="D115" s="47"/>
      <c r="E115" s="175"/>
      <c r="F115" s="176"/>
      <c r="G115" s="176"/>
      <c r="H115" s="35"/>
      <c r="I115" s="35"/>
      <c r="J115" s="35"/>
      <c r="K115" s="35"/>
      <c r="L115" s="35"/>
      <c r="M115" s="35"/>
      <c r="N115" s="35"/>
      <c r="O115" s="35"/>
      <c r="P115" s="35"/>
      <c r="Q115" s="35"/>
      <c r="R115" s="35"/>
      <c r="S115" s="35"/>
      <c r="T115" s="35"/>
      <c r="U115" s="37" t="s">
        <v>31</v>
      </c>
      <c r="V115" s="167"/>
      <c r="W115" s="168"/>
      <c r="X115" s="50"/>
      <c r="Z115" s="165" t="str">
        <f>IFERROR(__xludf.DUMMYFUNCTION("""COMPUTED_VALUE"""),"A Preliminary Study on Knowledge Reconstruction Activity for Fostering Cognitive Presence in Online Discussion")</f>
        <v>A Preliminary Study on Knowledge Reconstruction Activity for Fostering Cognitive Presence in Online Discussion</v>
      </c>
      <c r="AA115" s="165" t="str">
        <f>IFERROR(__xludf.DUMMYFUNCTION("""COMPUTED_VALUE"""),"Published")</f>
        <v>Published</v>
      </c>
      <c r="AB115" s="165"/>
      <c r="AC115" s="165" t="str">
        <f>IFERROR(__xludf.DUMMYFUNCTION("""COMPUTED_VALUE"""),"ISBN: 978-626-968-902-6")</f>
        <v>ISBN: 978-626-968-902-6</v>
      </c>
    </row>
    <row r="116" ht="15.75" customHeight="1">
      <c r="A116" s="131">
        <v>111.0</v>
      </c>
      <c r="B116" s="58" t="str">
        <f t="shared" si="2"/>
        <v/>
      </c>
      <c r="C116" s="81"/>
      <c r="D116" s="47"/>
      <c r="E116" s="175"/>
      <c r="F116" s="176"/>
      <c r="G116" s="176"/>
      <c r="H116" s="35"/>
      <c r="I116" s="35"/>
      <c r="J116" s="35"/>
      <c r="K116" s="35"/>
      <c r="L116" s="35"/>
      <c r="M116" s="35"/>
      <c r="N116" s="35"/>
      <c r="O116" s="35"/>
      <c r="P116" s="35"/>
      <c r="Q116" s="35"/>
      <c r="R116" s="181"/>
      <c r="S116" s="35"/>
      <c r="T116" s="35"/>
      <c r="U116" s="37" t="s">
        <v>31</v>
      </c>
      <c r="V116" s="167"/>
      <c r="W116" s="168"/>
      <c r="X116" s="50"/>
      <c r="Z116" s="165" t="str">
        <f>IFERROR(__xludf.DUMMYFUNCTION("""COMPUTED_VALUE"""),"Realtime Video Latency Reduction for Autonomous Vehicle Teleoperation using RTMP Over UDP Protocols")</f>
        <v>Realtime Video Latency Reduction for Autonomous Vehicle Teleoperation using RTMP Over UDP Protocols</v>
      </c>
      <c r="AA116" s="165" t="str">
        <f>IFERROR(__xludf.DUMMYFUNCTION("""COMPUTED_VALUE"""),"Published")</f>
        <v>Published</v>
      </c>
      <c r="AB116" s="165"/>
      <c r="AC116" s="166" t="str">
        <f>IFERROR(__xludf.DUMMYFUNCTION("""COMPUTED_VALUE"""),"https://doi.org/10.1145/3575882.3575891")</f>
        <v>https://doi.org/10.1145/3575882.3575891</v>
      </c>
    </row>
    <row r="117" ht="15.75" customHeight="1">
      <c r="A117" s="131">
        <v>112.0</v>
      </c>
      <c r="B117" s="58" t="str">
        <f t="shared" si="2"/>
        <v/>
      </c>
      <c r="C117" s="81"/>
      <c r="D117" s="47"/>
      <c r="E117" s="175"/>
      <c r="F117" s="176"/>
      <c r="G117" s="176"/>
      <c r="H117" s="35"/>
      <c r="I117" s="35"/>
      <c r="J117" s="35"/>
      <c r="K117" s="35"/>
      <c r="L117" s="35"/>
      <c r="M117" s="35"/>
      <c r="N117" s="35"/>
      <c r="O117" s="35"/>
      <c r="P117" s="35"/>
      <c r="Q117" s="35"/>
      <c r="R117" s="181"/>
      <c r="S117" s="35"/>
      <c r="T117" s="35"/>
      <c r="U117" s="37" t="s">
        <v>31</v>
      </c>
      <c r="V117" s="167"/>
      <c r="W117" s="168"/>
      <c r="X117" s="173"/>
      <c r="Z117" s="165" t="str">
        <f>IFERROR(__xludf.DUMMYFUNCTION("""COMPUTED_VALUE"""),"An Empirical Analysis of Knowledge Overlapping from Big Vocabulary in Biodiversity Domain")</f>
        <v>An Empirical Analysis of Knowledge Overlapping from Big Vocabulary in Biodiversity Domain</v>
      </c>
      <c r="AA117" s="165" t="str">
        <f>IFERROR(__xludf.DUMMYFUNCTION("""COMPUTED_VALUE"""),"Published")</f>
        <v>Published</v>
      </c>
      <c r="AB117" s="165"/>
      <c r="AC117" s="166" t="str">
        <f>IFERROR(__xludf.DUMMYFUNCTION("""COMPUTED_VALUE"""),"https://doi.org/10.1145/3575882.3575921")</f>
        <v>https://doi.org/10.1145/3575882.3575921</v>
      </c>
    </row>
    <row r="118" ht="15.75" customHeight="1">
      <c r="A118" s="131">
        <v>113.0</v>
      </c>
      <c r="B118" s="58" t="str">
        <f t="shared" si="2"/>
        <v/>
      </c>
      <c r="C118" s="182"/>
      <c r="D118" s="47"/>
      <c r="E118" s="185"/>
      <c r="F118" s="176"/>
      <c r="G118" s="176"/>
      <c r="H118" s="35"/>
      <c r="I118" s="35"/>
      <c r="J118" s="35"/>
      <c r="K118" s="35"/>
      <c r="L118" s="35"/>
      <c r="M118" s="35"/>
      <c r="N118" s="35"/>
      <c r="O118" s="35"/>
      <c r="P118" s="35"/>
      <c r="Q118" s="35"/>
      <c r="R118" s="186"/>
      <c r="S118" s="35"/>
      <c r="T118" s="35"/>
      <c r="U118" s="37" t="s">
        <v>31</v>
      </c>
      <c r="V118" s="170"/>
      <c r="W118" s="168"/>
      <c r="X118" s="173"/>
      <c r="Z118" s="165" t="str">
        <f>IFERROR(__xludf.DUMMYFUNCTION("""COMPUTED_VALUE"""),"Revealing the Development of Fish Species Identification Process through An Ontology Mapping Approach")</f>
        <v>Revealing the Development of Fish Species Identification Process through An Ontology Mapping Approach</v>
      </c>
      <c r="AA118" s="165" t="str">
        <f>IFERROR(__xludf.DUMMYFUNCTION("""COMPUTED_VALUE"""),"Published")</f>
        <v>Published</v>
      </c>
      <c r="AB118" s="165"/>
      <c r="AC118" s="166" t="str">
        <f>IFERROR(__xludf.DUMMYFUNCTION("""COMPUTED_VALUE"""),"https://doi.org/10.1109/IC3INA60834.2023.10285733")</f>
        <v>https://doi.org/10.1109/IC3INA60834.2023.10285733</v>
      </c>
    </row>
    <row r="119" ht="15.75" customHeight="1">
      <c r="A119" s="131">
        <v>114.0</v>
      </c>
      <c r="B119" s="58" t="str">
        <f t="shared" si="2"/>
        <v/>
      </c>
      <c r="C119" s="136"/>
      <c r="D119" s="98"/>
      <c r="E119" s="187"/>
      <c r="F119" s="176"/>
      <c r="G119" s="176"/>
      <c r="H119" s="35"/>
      <c r="I119" s="35"/>
      <c r="J119" s="35"/>
      <c r="K119" s="35"/>
      <c r="L119" s="35"/>
      <c r="M119" s="35"/>
      <c r="N119" s="35"/>
      <c r="O119" s="35"/>
      <c r="P119" s="35"/>
      <c r="Q119" s="35"/>
      <c r="R119" s="181"/>
      <c r="S119" s="35"/>
      <c r="T119" s="35"/>
      <c r="U119" s="37" t="s">
        <v>31</v>
      </c>
      <c r="V119" s="167"/>
      <c r="W119" s="188"/>
      <c r="X119" s="111"/>
      <c r="Z119" s="165" t="str">
        <f>IFERROR(__xludf.DUMMYFUNCTION("""COMPUTED_VALUE"""),"Usability and acceptance of crowd-based early warning of harmful algal blooms")</f>
        <v>Usability and acceptance of crowd-based early warning of harmful algal blooms</v>
      </c>
      <c r="AA119" s="165" t="str">
        <f>IFERROR(__xludf.DUMMYFUNCTION("""COMPUTED_VALUE"""),"Published")</f>
        <v>Published</v>
      </c>
      <c r="AB119" s="165"/>
      <c r="AC119" s="166" t="str">
        <f>IFERROR(__xludf.DUMMYFUNCTION("""COMPUTED_VALUE"""),"https://doi.org/10.7717/peerj.14923")</f>
        <v>https://doi.org/10.7717/peerj.14923</v>
      </c>
    </row>
    <row r="120" ht="15.75" customHeight="1">
      <c r="A120" s="131">
        <v>115.0</v>
      </c>
      <c r="B120" s="58" t="str">
        <f t="shared" si="2"/>
        <v/>
      </c>
      <c r="C120" s="136"/>
      <c r="D120" s="98"/>
      <c r="E120" s="187"/>
      <c r="F120" s="176"/>
      <c r="G120" s="176"/>
      <c r="H120" s="35"/>
      <c r="I120" s="35"/>
      <c r="J120" s="35"/>
      <c r="K120" s="35"/>
      <c r="L120" s="35"/>
      <c r="M120" s="35"/>
      <c r="N120" s="35"/>
      <c r="O120" s="35"/>
      <c r="P120" s="35"/>
      <c r="Q120" s="35"/>
      <c r="R120" s="181"/>
      <c r="S120" s="35"/>
      <c r="T120" s="35"/>
      <c r="U120" s="37" t="s">
        <v>31</v>
      </c>
      <c r="V120" s="167"/>
      <c r="W120" s="168"/>
      <c r="X120" s="50"/>
      <c r="Z120" s="165" t="str">
        <f>IFERROR(__xludf.DUMMYFUNCTION("""COMPUTED_VALUE"""),"Identification of Hoya Plant using Convolutional Neural Network (CNN) and Transfer Learning")</f>
        <v>Identification of Hoya Plant using Convolutional Neural Network (CNN) and Transfer Learning</v>
      </c>
      <c r="AA120" s="165" t="str">
        <f>IFERROR(__xludf.DUMMYFUNCTION("""COMPUTED_VALUE"""),"Published")</f>
        <v>Published</v>
      </c>
      <c r="AB120" s="165"/>
      <c r="AC120" s="166" t="str">
        <f>IFERROR(__xludf.DUMMYFUNCTION("""COMPUTED_VALUE"""),"https://doi.org/10.1145/3575882.3575917")</f>
        <v>https://doi.org/10.1145/3575882.3575917</v>
      </c>
    </row>
    <row r="121" ht="15.75" customHeight="1">
      <c r="A121" s="131">
        <v>116.0</v>
      </c>
      <c r="B121" s="58" t="str">
        <f t="shared" si="2"/>
        <v/>
      </c>
      <c r="C121" s="136"/>
      <c r="D121" s="47"/>
      <c r="E121" s="185"/>
      <c r="F121" s="176"/>
      <c r="G121" s="176"/>
      <c r="H121" s="35"/>
      <c r="I121" s="35"/>
      <c r="J121" s="35"/>
      <c r="K121" s="35"/>
      <c r="L121" s="35"/>
      <c r="M121" s="35"/>
      <c r="N121" s="35"/>
      <c r="O121" s="35"/>
      <c r="P121" s="35"/>
      <c r="Q121" s="35"/>
      <c r="R121" s="181"/>
      <c r="S121" s="35"/>
      <c r="T121" s="35"/>
      <c r="U121" s="37" t="s">
        <v>31</v>
      </c>
      <c r="V121" s="167"/>
      <c r="W121" s="168"/>
      <c r="X121" s="173"/>
      <c r="Z121" s="165" t="str">
        <f>IFERROR(__xludf.DUMMYFUNCTION("""COMPUTED_VALUE"""),"Development of the Digital Accounting and Its Impact on Financial Performance in Higher Education")</f>
        <v>Development of the Digital Accounting and Its Impact on Financial Performance in Higher Education</v>
      </c>
      <c r="AA121" s="165" t="str">
        <f>IFERROR(__xludf.DUMMYFUNCTION("""COMPUTED_VALUE"""),"Published")</f>
        <v>Published</v>
      </c>
      <c r="AB121" s="165"/>
      <c r="AC121" s="166" t="str">
        <f>IFERROR(__xludf.DUMMYFUNCTION("""COMPUTED_VALUE"""),"https://doi.org/10.36941/jesr-2023-0031")</f>
        <v>https://doi.org/10.36941/jesr-2023-0031</v>
      </c>
    </row>
    <row r="122" ht="15.75" customHeight="1">
      <c r="A122" s="131">
        <v>117.0</v>
      </c>
      <c r="B122" s="58" t="str">
        <f t="shared" si="2"/>
        <v/>
      </c>
      <c r="C122" s="136"/>
      <c r="D122" s="47"/>
      <c r="E122" s="185"/>
      <c r="F122" s="176"/>
      <c r="G122" s="176"/>
      <c r="H122" s="35"/>
      <c r="I122" s="35"/>
      <c r="J122" s="35"/>
      <c r="K122" s="35"/>
      <c r="L122" s="35"/>
      <c r="M122" s="35"/>
      <c r="N122" s="35"/>
      <c r="O122" s="35"/>
      <c r="P122" s="35"/>
      <c r="Q122" s="35"/>
      <c r="R122" s="181"/>
      <c r="S122" s="35"/>
      <c r="T122" s="35"/>
      <c r="U122" s="37" t="s">
        <v>31</v>
      </c>
      <c r="V122" s="167"/>
      <c r="W122" s="168"/>
      <c r="X122" s="173"/>
      <c r="Z122" s="165" t="str">
        <f>IFERROR(__xludf.DUMMYFUNCTION("""COMPUTED_VALUE"""),"Application of Bayes’ Theorem in an Expert System for Diagnosing Mangosteen Diseases and Pests")</f>
        <v>Application of Bayes’ Theorem in an Expert System for Diagnosing Mangosteen Diseases and Pests</v>
      </c>
      <c r="AA122" s="165" t="str">
        <f>IFERROR(__xludf.DUMMYFUNCTION("""COMPUTED_VALUE"""),"Published")</f>
        <v>Published</v>
      </c>
      <c r="AB122" s="165"/>
      <c r="AC122" s="166" t="str">
        <f>IFERROR(__xludf.DUMMYFUNCTION("""COMPUTED_VALUE"""),"https://doi.org/10.1145/3575882.3575927")</f>
        <v>https://doi.org/10.1145/3575882.3575927</v>
      </c>
    </row>
    <row r="123" ht="15.75" customHeight="1">
      <c r="A123" s="131">
        <v>118.0</v>
      </c>
      <c r="B123" s="58" t="str">
        <f t="shared" si="2"/>
        <v/>
      </c>
      <c r="C123" s="136"/>
      <c r="D123" s="47"/>
      <c r="E123" s="185"/>
      <c r="F123" s="176"/>
      <c r="G123" s="176"/>
      <c r="H123" s="35"/>
      <c r="I123" s="35"/>
      <c r="J123" s="35"/>
      <c r="K123" s="35"/>
      <c r="L123" s="35"/>
      <c r="M123" s="35"/>
      <c r="N123" s="35"/>
      <c r="O123" s="35"/>
      <c r="P123" s="35"/>
      <c r="Q123" s="35"/>
      <c r="R123" s="189"/>
      <c r="S123" s="35"/>
      <c r="T123" s="35"/>
      <c r="U123" s="37" t="s">
        <v>31</v>
      </c>
      <c r="V123" s="167"/>
      <c r="W123" s="168"/>
      <c r="X123" s="173"/>
      <c r="Z123" s="165" t="str">
        <f>IFERROR(__xludf.DUMMYFUNCTION("""COMPUTED_VALUE"""),"Expert retrieval based on local journals metadata to drive small-medium industries (SMI) collaboration for product innovation")</f>
        <v>Expert retrieval based on local journals metadata to drive small-medium industries (SMI) collaboration for product innovation</v>
      </c>
      <c r="AA123" s="165" t="str">
        <f>IFERROR(__xludf.DUMMYFUNCTION("""COMPUTED_VALUE"""),"Published")</f>
        <v>Published</v>
      </c>
      <c r="AB123" s="165"/>
      <c r="AC123" s="166" t="str">
        <f>IFERROR(__xludf.DUMMYFUNCTION("""COMPUTED_VALUE"""),"https://doi.org/10.1007/s13278-023-01044-5")</f>
        <v>https://doi.org/10.1007/s13278-023-01044-5</v>
      </c>
    </row>
    <row r="124" ht="15.75" customHeight="1">
      <c r="A124" s="131">
        <v>119.0</v>
      </c>
      <c r="B124" s="58" t="str">
        <f t="shared" si="2"/>
        <v/>
      </c>
      <c r="C124" s="179"/>
      <c r="D124" s="98"/>
      <c r="E124" s="177"/>
      <c r="F124" s="176"/>
      <c r="G124" s="176"/>
      <c r="H124" s="35"/>
      <c r="I124" s="35"/>
      <c r="J124" s="35"/>
      <c r="K124" s="35"/>
      <c r="L124" s="35"/>
      <c r="M124" s="35"/>
      <c r="N124" s="35"/>
      <c r="O124" s="35"/>
      <c r="P124" s="35"/>
      <c r="Q124" s="35"/>
      <c r="R124" s="181"/>
      <c r="S124" s="35"/>
      <c r="T124" s="35"/>
      <c r="U124" s="37" t="s">
        <v>31</v>
      </c>
      <c r="V124" s="167"/>
      <c r="W124" s="190"/>
      <c r="X124" s="173"/>
      <c r="Z124" s="165" t="str">
        <f>IFERROR(__xludf.DUMMYFUNCTION("""COMPUTED_VALUE"""),"GunadarmaXBRIN at SemEval-2023 Task 12: Utilization of SVM and AfriBERTa for Monolingual, Multilingual, and Zero-shot Sentiment Analysis in African Languages")</f>
        <v>GunadarmaXBRIN at SemEval-2023 Task 12: Utilization of SVM and AfriBERTa for Monolingual, Multilingual, and Zero-shot Sentiment Analysis in African Languages</v>
      </c>
      <c r="AA124" s="165" t="str">
        <f>IFERROR(__xludf.DUMMYFUNCTION("""COMPUTED_VALUE"""),"Published")</f>
        <v>Published</v>
      </c>
      <c r="AB124" s="165"/>
      <c r="AC124" s="166" t="str">
        <f>IFERROR(__xludf.DUMMYFUNCTION("""COMPUTED_VALUE"""),"http://dx.doi.org/10.18653/v1/2023.semeval-1.120")</f>
        <v>http://dx.doi.org/10.18653/v1/2023.semeval-1.120</v>
      </c>
    </row>
    <row r="125" ht="15.75" customHeight="1">
      <c r="A125" s="131">
        <v>120.0</v>
      </c>
      <c r="B125" s="58" t="str">
        <f t="shared" si="2"/>
        <v/>
      </c>
      <c r="C125" s="179"/>
      <c r="D125" s="47"/>
      <c r="E125" s="185"/>
      <c r="F125" s="176"/>
      <c r="G125" s="176"/>
      <c r="H125" s="35"/>
      <c r="I125" s="35"/>
      <c r="J125" s="35"/>
      <c r="K125" s="35"/>
      <c r="L125" s="35"/>
      <c r="M125" s="35"/>
      <c r="N125" s="35"/>
      <c r="O125" s="35"/>
      <c r="P125" s="35"/>
      <c r="Q125" s="35"/>
      <c r="R125" s="181"/>
      <c r="S125" s="35"/>
      <c r="T125" s="35"/>
      <c r="U125" s="37" t="s">
        <v>31</v>
      </c>
      <c r="V125" s="167"/>
      <c r="W125" s="168"/>
      <c r="X125" s="173"/>
      <c r="Z125" s="165" t="str">
        <f>IFERROR(__xludf.DUMMYFUNCTION("""COMPUTED_VALUE"""),"Sarcasm Detection in Indonesian Tweets Using Hyperbole Features")</f>
        <v>Sarcasm Detection in Indonesian Tweets Using Hyperbole Features</v>
      </c>
      <c r="AA125" s="165" t="str">
        <f>IFERROR(__xludf.DUMMYFUNCTION("""COMPUTED_VALUE"""),"Published")</f>
        <v>Published</v>
      </c>
      <c r="AB125" s="165"/>
      <c r="AC125" s="166" t="str">
        <f>IFERROR(__xludf.DUMMYFUNCTION("""COMPUTED_VALUE"""),"https://doi.org/10.1145/3575882.3575908")</f>
        <v>https://doi.org/10.1145/3575882.3575908</v>
      </c>
    </row>
    <row r="126" ht="15.75" customHeight="1">
      <c r="A126" s="131">
        <v>121.0</v>
      </c>
      <c r="B126" s="58" t="str">
        <f t="shared" si="2"/>
        <v/>
      </c>
      <c r="C126" s="179"/>
      <c r="D126" s="47"/>
      <c r="E126" s="185"/>
      <c r="F126" s="176"/>
      <c r="G126" s="176"/>
      <c r="H126" s="35"/>
      <c r="I126" s="35"/>
      <c r="J126" s="35"/>
      <c r="K126" s="35"/>
      <c r="L126" s="35"/>
      <c r="M126" s="35"/>
      <c r="N126" s="35"/>
      <c r="O126" s="35"/>
      <c r="P126" s="35"/>
      <c r="Q126" s="35"/>
      <c r="R126" s="181"/>
      <c r="S126" s="35"/>
      <c r="T126" s="35"/>
      <c r="U126" s="37" t="s">
        <v>31</v>
      </c>
      <c r="V126" s="167"/>
      <c r="W126" s="168"/>
      <c r="X126" s="173"/>
      <c r="Z126" s="165" t="str">
        <f>IFERROR(__xludf.DUMMYFUNCTION("""COMPUTED_VALUE"""),"Comparative Analysis using Various Performance Metrics in Imbalanced Data for Multi-Class Text Classification")</f>
        <v>Comparative Analysis using Various Performance Metrics in Imbalanced Data for Multi-Class Text Classification</v>
      </c>
      <c r="AA126" s="165" t="str">
        <f>IFERROR(__xludf.DUMMYFUNCTION("""COMPUTED_VALUE"""),"Published")</f>
        <v>Published</v>
      </c>
      <c r="AB126" s="165"/>
      <c r="AC126" s="166" t="str">
        <f>IFERROR(__xludf.DUMMYFUNCTION("""COMPUTED_VALUE"""),"https://doi.org/10.14569/IJACSA.2023.01406116")</f>
        <v>https://doi.org/10.14569/IJACSA.2023.01406116</v>
      </c>
    </row>
    <row r="127" ht="15.75" customHeight="1">
      <c r="A127" s="131">
        <v>122.0</v>
      </c>
      <c r="B127" s="58" t="str">
        <f t="shared" si="2"/>
        <v/>
      </c>
      <c r="C127" s="179"/>
      <c r="D127" s="47"/>
      <c r="E127" s="185"/>
      <c r="F127" s="176"/>
      <c r="G127" s="176"/>
      <c r="H127" s="35"/>
      <c r="I127" s="35"/>
      <c r="J127" s="35"/>
      <c r="K127" s="35"/>
      <c r="L127" s="35"/>
      <c r="M127" s="35"/>
      <c r="N127" s="35"/>
      <c r="O127" s="35"/>
      <c r="P127" s="35"/>
      <c r="Q127" s="35"/>
      <c r="R127" s="181"/>
      <c r="S127" s="35"/>
      <c r="T127" s="35"/>
      <c r="U127" s="37" t="s">
        <v>31</v>
      </c>
      <c r="V127" s="191"/>
      <c r="W127" s="192"/>
      <c r="X127" s="173"/>
      <c r="Z127" s="165" t="str">
        <f>IFERROR(__xludf.DUMMYFUNCTION("""COMPUTED_VALUE"""),"On Generating SHACL Shapes from Collective Collection of Plant Trait Data")</f>
        <v>On Generating SHACL Shapes from Collective Collection of Plant Trait Data</v>
      </c>
      <c r="AA127" s="165" t="str">
        <f>IFERROR(__xludf.DUMMYFUNCTION("""COMPUTED_VALUE"""),"Published")</f>
        <v>Published</v>
      </c>
      <c r="AB127" s="165"/>
      <c r="AC127" s="166" t="str">
        <f>IFERROR(__xludf.DUMMYFUNCTION("""COMPUTED_VALUE"""),"https://doi.org/10.1145/3575882.3575945")</f>
        <v>https://doi.org/10.1145/3575882.3575945</v>
      </c>
    </row>
    <row r="128" ht="15.75" customHeight="1">
      <c r="A128" s="131">
        <v>123.0</v>
      </c>
      <c r="B128" s="58" t="str">
        <f t="shared" si="2"/>
        <v/>
      </c>
      <c r="C128" s="179"/>
      <c r="D128" s="47"/>
      <c r="E128" s="175"/>
      <c r="F128" s="176"/>
      <c r="G128" s="176"/>
      <c r="H128" s="35"/>
      <c r="I128" s="35"/>
      <c r="J128" s="35"/>
      <c r="K128" s="35"/>
      <c r="L128" s="35"/>
      <c r="M128" s="35"/>
      <c r="N128" s="35"/>
      <c r="O128" s="35"/>
      <c r="P128" s="35"/>
      <c r="Q128" s="35"/>
      <c r="R128" s="181"/>
      <c r="S128" s="35"/>
      <c r="T128" s="35"/>
      <c r="U128" s="37" t="s">
        <v>31</v>
      </c>
      <c r="V128" s="191"/>
      <c r="W128" s="168"/>
      <c r="X128" s="173"/>
      <c r="Z128" s="165" t="str">
        <f>IFERROR(__xludf.DUMMYFUNCTION("""COMPUTED_VALUE"""),"OntoBiodiv: Reconnecting Biodiversity Data with Specimens")</f>
        <v>OntoBiodiv: Reconnecting Biodiversity Data with Specimens</v>
      </c>
      <c r="AA128" s="165" t="str">
        <f>IFERROR(__xludf.DUMMYFUNCTION("""COMPUTED_VALUE"""),"Published")</f>
        <v>Published</v>
      </c>
      <c r="AB128" s="165"/>
      <c r="AC128" s="166" t="str">
        <f>IFERROR(__xludf.DUMMYFUNCTION("""COMPUTED_VALUE"""),"http://dx.doi.org/10.1109/NISS55057.2022.10085505")</f>
        <v>http://dx.doi.org/10.1109/NISS55057.2022.10085505</v>
      </c>
    </row>
    <row r="129" ht="15.75" customHeight="1">
      <c r="A129" s="131">
        <v>124.0</v>
      </c>
      <c r="B129" s="58" t="str">
        <f t="shared" si="2"/>
        <v/>
      </c>
      <c r="C129" s="179"/>
      <c r="D129" s="47"/>
      <c r="E129" s="185"/>
      <c r="F129" s="176"/>
      <c r="G129" s="176"/>
      <c r="H129" s="35"/>
      <c r="I129" s="35"/>
      <c r="J129" s="35"/>
      <c r="K129" s="35"/>
      <c r="L129" s="35"/>
      <c r="M129" s="35"/>
      <c r="N129" s="35"/>
      <c r="O129" s="35"/>
      <c r="P129" s="35"/>
      <c r="Q129" s="35"/>
      <c r="R129" s="181"/>
      <c r="S129" s="35"/>
      <c r="T129" s="35"/>
      <c r="U129" s="37" t="s">
        <v>31</v>
      </c>
      <c r="V129" s="191"/>
      <c r="W129" s="193"/>
      <c r="X129" s="173"/>
      <c r="Z129" s="165" t="str">
        <f>IFERROR(__xludf.DUMMYFUNCTION("""COMPUTED_VALUE"""),"A Knowledge Graph Exploration Method with No Prior Knowledge")</f>
        <v>A Knowledge Graph Exploration Method with No Prior Knowledge</v>
      </c>
      <c r="AA129" s="165" t="str">
        <f>IFERROR(__xludf.DUMMYFUNCTION("""COMPUTED_VALUE"""),"Published")</f>
        <v>Published</v>
      </c>
      <c r="AB129" s="165"/>
      <c r="AC129" s="166" t="str">
        <f>IFERROR(__xludf.DUMMYFUNCTION("""COMPUTED_VALUE"""),"https://doi.org/10.1145/3575882.3575918")</f>
        <v>https://doi.org/10.1145/3575882.3575918</v>
      </c>
    </row>
    <row r="130" ht="15.75" customHeight="1">
      <c r="A130" s="131">
        <v>125.0</v>
      </c>
      <c r="B130" s="58" t="str">
        <f t="shared" si="2"/>
        <v/>
      </c>
      <c r="C130" s="179"/>
      <c r="D130" s="47"/>
      <c r="E130" s="185"/>
      <c r="F130" s="176"/>
      <c r="G130" s="176"/>
      <c r="H130" s="35"/>
      <c r="I130" s="35"/>
      <c r="J130" s="35"/>
      <c r="K130" s="35"/>
      <c r="L130" s="35"/>
      <c r="M130" s="35"/>
      <c r="N130" s="35"/>
      <c r="O130" s="35"/>
      <c r="P130" s="35"/>
      <c r="Q130" s="35"/>
      <c r="R130" s="181"/>
      <c r="S130" s="35"/>
      <c r="T130" s="35"/>
      <c r="U130" s="37" t="s">
        <v>31</v>
      </c>
      <c r="V130" s="191"/>
      <c r="W130" s="194"/>
      <c r="X130" s="173"/>
      <c r="Z130" s="165" t="str">
        <f>IFERROR(__xludf.DUMMYFUNCTION("""COMPUTED_VALUE"""),"Factors affecting the use of Zoom app in online lectures during Covid-19 pandemic")</f>
        <v>Factors affecting the use of Zoom app in online lectures during Covid-19 pandemic</v>
      </c>
      <c r="AA130" s="165" t="str">
        <f>IFERROR(__xludf.DUMMYFUNCTION("""COMPUTED_VALUE"""),"Published")</f>
        <v>Published</v>
      </c>
      <c r="AB130" s="165"/>
      <c r="AC130" s="166" t="str">
        <f>IFERROR(__xludf.DUMMYFUNCTION("""COMPUTED_VALUE"""),"https://doi.org/10.1063/5.0128541")</f>
        <v>https://doi.org/10.1063/5.0128541</v>
      </c>
    </row>
    <row r="131" ht="15.75" customHeight="1">
      <c r="A131" s="131">
        <v>126.0</v>
      </c>
      <c r="B131" s="58" t="str">
        <f t="shared" si="2"/>
        <v/>
      </c>
      <c r="C131" s="179"/>
      <c r="D131" s="47"/>
      <c r="E131" s="185"/>
      <c r="F131" s="176"/>
      <c r="G131" s="176"/>
      <c r="H131" s="35"/>
      <c r="I131" s="35"/>
      <c r="J131" s="35"/>
      <c r="K131" s="35"/>
      <c r="L131" s="35"/>
      <c r="M131" s="35"/>
      <c r="N131" s="35"/>
      <c r="O131" s="35"/>
      <c r="P131" s="35"/>
      <c r="Q131" s="35"/>
      <c r="R131" s="181"/>
      <c r="S131" s="35"/>
      <c r="T131" s="35"/>
      <c r="U131" s="37" t="s">
        <v>31</v>
      </c>
      <c r="V131" s="167"/>
      <c r="W131" s="168"/>
      <c r="X131" s="173"/>
      <c r="Z131" s="165" t="str">
        <f>IFERROR(__xludf.DUMMYFUNCTION("""COMPUTED_VALUE"""),"The Effectiveness of Resampling Method for Handling Class Imbalances in Software Defect Prediction")</f>
        <v>The Effectiveness of Resampling Method for Handling Class Imbalances in Software Defect Prediction</v>
      </c>
      <c r="AA131" s="165" t="str">
        <f>IFERROR(__xludf.DUMMYFUNCTION("""COMPUTED_VALUE"""),"Published")</f>
        <v>Published</v>
      </c>
      <c r="AB131" s="165"/>
      <c r="AC131" s="166" t="str">
        <f>IFERROR(__xludf.DUMMYFUNCTION("""COMPUTED_VALUE"""),"https://doi.org/10.1109/ICITRI59340.2023.10249255")</f>
        <v>https://doi.org/10.1109/ICITRI59340.2023.10249255</v>
      </c>
    </row>
    <row r="132" ht="15.75" customHeight="1">
      <c r="A132" s="131">
        <v>127.0</v>
      </c>
      <c r="B132" s="58" t="str">
        <f t="shared" si="2"/>
        <v/>
      </c>
      <c r="C132" s="179"/>
      <c r="D132" s="47"/>
      <c r="E132" s="185"/>
      <c r="F132" s="176"/>
      <c r="G132" s="176"/>
      <c r="H132" s="35"/>
      <c r="I132" s="35"/>
      <c r="J132" s="35"/>
      <c r="K132" s="35"/>
      <c r="L132" s="35"/>
      <c r="M132" s="35"/>
      <c r="N132" s="35"/>
      <c r="O132" s="35"/>
      <c r="P132" s="35"/>
      <c r="Q132" s="35"/>
      <c r="R132" s="181"/>
      <c r="S132" s="35"/>
      <c r="T132" s="35"/>
      <c r="U132" s="37" t="s">
        <v>31</v>
      </c>
      <c r="V132" s="167"/>
      <c r="W132" s="168"/>
      <c r="X132" s="173"/>
      <c r="Z132" s="165" t="str">
        <f>IFERROR(__xludf.DUMMYFUNCTION("""COMPUTED_VALUE"""),"A Literature Review on Research Opportunities in Ontology Alignment for Quality Standards in Higher Education")</f>
        <v>A Literature Review on Research Opportunities in Ontology Alignment for Quality Standards in Higher Education</v>
      </c>
      <c r="AA132" s="165" t="str">
        <f>IFERROR(__xludf.DUMMYFUNCTION("""COMPUTED_VALUE"""),"Published")</f>
        <v>Published</v>
      </c>
      <c r="AB132" s="165"/>
      <c r="AC132" s="166" t="str">
        <f>IFERROR(__xludf.DUMMYFUNCTION("""COMPUTED_VALUE"""),"https://doi.org/10.46328/ijemst.3722")</f>
        <v>https://doi.org/10.46328/ijemst.3722</v>
      </c>
    </row>
    <row r="133" ht="15.75" customHeight="1">
      <c r="A133" s="131">
        <v>128.0</v>
      </c>
      <c r="B133" s="58" t="str">
        <f t="shared" si="2"/>
        <v/>
      </c>
      <c r="C133" s="179"/>
      <c r="D133" s="47"/>
      <c r="E133" s="185"/>
      <c r="F133" s="176"/>
      <c r="G133" s="176"/>
      <c r="H133" s="35"/>
      <c r="I133" s="35"/>
      <c r="J133" s="35"/>
      <c r="K133" s="35"/>
      <c r="L133" s="35"/>
      <c r="M133" s="35"/>
      <c r="N133" s="35"/>
      <c r="O133" s="35"/>
      <c r="P133" s="35"/>
      <c r="Q133" s="35"/>
      <c r="R133" s="181"/>
      <c r="S133" s="35"/>
      <c r="T133" s="35"/>
      <c r="U133" s="37" t="s">
        <v>31</v>
      </c>
      <c r="V133" s="167"/>
      <c r="W133" s="168"/>
      <c r="X133" s="173"/>
      <c r="Z133" s="165" t="str">
        <f>IFERROR(__xludf.DUMMYFUNCTION("""COMPUTED_VALUE"""),"Proposing a Microservices Architecture for AMEL Information System Designed Using TOGAF ADM")</f>
        <v>Proposing a Microservices Architecture for AMEL Information System Designed Using TOGAF ADM</v>
      </c>
      <c r="AA133" s="165" t="str">
        <f>IFERROR(__xludf.DUMMYFUNCTION("""COMPUTED_VALUE"""),"Published")</f>
        <v>Published</v>
      </c>
      <c r="AB133" s="165"/>
      <c r="AC133" s="166" t="str">
        <f>IFERROR(__xludf.DUMMYFUNCTION("""COMPUTED_VALUE"""),"https://doi.org/10.1109/IC3INA60834.2023.10285743")</f>
        <v>https://doi.org/10.1109/IC3INA60834.2023.10285743</v>
      </c>
    </row>
    <row r="134" ht="15.75" customHeight="1">
      <c r="A134" s="131">
        <v>129.0</v>
      </c>
      <c r="B134" s="58" t="str">
        <f t="shared" si="2"/>
        <v/>
      </c>
      <c r="C134" s="179"/>
      <c r="D134" s="47"/>
      <c r="E134" s="185"/>
      <c r="F134" s="176"/>
      <c r="G134" s="176"/>
      <c r="H134" s="35"/>
      <c r="I134" s="35"/>
      <c r="J134" s="35"/>
      <c r="K134" s="35"/>
      <c r="L134" s="35"/>
      <c r="M134" s="35"/>
      <c r="N134" s="35"/>
      <c r="O134" s="35"/>
      <c r="P134" s="35"/>
      <c r="Q134" s="35"/>
      <c r="R134" s="181"/>
      <c r="S134" s="35"/>
      <c r="T134" s="35"/>
      <c r="U134" s="37" t="s">
        <v>31</v>
      </c>
      <c r="V134" s="167"/>
      <c r="W134" s="168"/>
      <c r="X134" s="173"/>
      <c r="Z134" s="165" t="str">
        <f>IFERROR(__xludf.DUMMYFUNCTION("""COMPUTED_VALUE"""),"An Importance-Performance Analysis Concerning the Quality of Indonesia's e-Procurement System Based on ISO/EIC 25010:2011")</f>
        <v>An Importance-Performance Analysis Concerning the Quality of Indonesia's e-Procurement System Based on ISO/EIC 25010:2011</v>
      </c>
      <c r="AA134" s="165" t="str">
        <f>IFERROR(__xludf.DUMMYFUNCTION("""COMPUTED_VALUE"""),"Published")</f>
        <v>Published</v>
      </c>
      <c r="AB134" s="165"/>
      <c r="AC134" s="166" t="str">
        <f>IFERROR(__xludf.DUMMYFUNCTION("""COMPUTED_VALUE"""),"https://doi.org/10.1109/IC3INA60834.2023.10285795")</f>
        <v>https://doi.org/10.1109/IC3INA60834.2023.10285795</v>
      </c>
    </row>
    <row r="135" ht="15.75" customHeight="1">
      <c r="A135" s="131">
        <v>130.0</v>
      </c>
      <c r="B135" s="58" t="str">
        <f t="shared" si="2"/>
        <v/>
      </c>
      <c r="C135" s="179"/>
      <c r="D135" s="47"/>
      <c r="E135" s="185"/>
      <c r="F135" s="176"/>
      <c r="G135" s="176"/>
      <c r="H135" s="35"/>
      <c r="I135" s="35"/>
      <c r="J135" s="35"/>
      <c r="K135" s="35"/>
      <c r="L135" s="35"/>
      <c r="M135" s="35"/>
      <c r="N135" s="35"/>
      <c r="O135" s="35"/>
      <c r="P135" s="35"/>
      <c r="Q135" s="35"/>
      <c r="R135" s="181"/>
      <c r="S135" s="35"/>
      <c r="T135" s="35"/>
      <c r="U135" s="37" t="s">
        <v>31</v>
      </c>
      <c r="V135" s="167"/>
      <c r="W135" s="168"/>
      <c r="X135" s="173"/>
      <c r="Z135" s="165" t="str">
        <f>IFERROR(__xludf.DUMMYFUNCTION("""COMPUTED_VALUE"""),"Feature Selection in Machine Learning for Cross-Project Software Defect Number Prediction")</f>
        <v>Feature Selection in Machine Learning for Cross-Project Software Defect Number Prediction</v>
      </c>
      <c r="AA135" s="165" t="str">
        <f>IFERROR(__xludf.DUMMYFUNCTION("""COMPUTED_VALUE"""),"Published")</f>
        <v>Published</v>
      </c>
      <c r="AB135" s="165"/>
      <c r="AC135" s="166" t="str">
        <f>IFERROR(__xludf.DUMMYFUNCTION("""COMPUTED_VALUE"""),"doi.org/10.1109/ICTS58770.2023.10330829")</f>
        <v>doi.org/10.1109/ICTS58770.2023.10330829</v>
      </c>
    </row>
    <row r="136" ht="15.75" customHeight="1">
      <c r="A136" s="131">
        <v>131.0</v>
      </c>
      <c r="B136" s="58" t="str">
        <f t="shared" si="2"/>
        <v/>
      </c>
      <c r="C136" s="179"/>
      <c r="D136" s="47"/>
      <c r="E136" s="185"/>
      <c r="F136" s="176"/>
      <c r="G136" s="176"/>
      <c r="H136" s="35"/>
      <c r="I136" s="35"/>
      <c r="J136" s="35"/>
      <c r="K136" s="35"/>
      <c r="L136" s="35"/>
      <c r="M136" s="35"/>
      <c r="N136" s="35"/>
      <c r="O136" s="35"/>
      <c r="P136" s="35"/>
      <c r="Q136" s="35"/>
      <c r="R136" s="181"/>
      <c r="S136" s="35"/>
      <c r="T136" s="35"/>
      <c r="U136" s="37" t="s">
        <v>31</v>
      </c>
      <c r="V136" s="167"/>
      <c r="W136" s="168"/>
      <c r="X136" s="173"/>
      <c r="Z136" s="165" t="str">
        <f>IFERROR(__xludf.DUMMYFUNCTION("""COMPUTED_VALUE"""),"Utilizing Knowledge Bases in Filtering IoT Data to Predict Algal Blooms")</f>
        <v>Utilizing Knowledge Bases in Filtering IoT Data to Predict Algal Blooms</v>
      </c>
      <c r="AA136" s="165" t="str">
        <f>IFERROR(__xludf.DUMMYFUNCTION("""COMPUTED_VALUE"""),"Published")</f>
        <v>Published</v>
      </c>
      <c r="AB136" s="165"/>
      <c r="AC136" s="166" t="str">
        <f>IFERROR(__xludf.DUMMYFUNCTION("""COMPUTED_VALUE"""),"doi.org/10.1109/IC3INA60834.2023.10285783")</f>
        <v>doi.org/10.1109/IC3INA60834.2023.10285783</v>
      </c>
    </row>
    <row r="137" ht="15.75" customHeight="1">
      <c r="A137" s="131">
        <v>132.0</v>
      </c>
      <c r="B137" s="58" t="str">
        <f t="shared" si="2"/>
        <v/>
      </c>
      <c r="C137" s="179"/>
      <c r="D137" s="47"/>
      <c r="E137" s="185"/>
      <c r="F137" s="176"/>
      <c r="G137" s="176"/>
      <c r="H137" s="35"/>
      <c r="I137" s="35"/>
      <c r="J137" s="35"/>
      <c r="K137" s="35"/>
      <c r="L137" s="35"/>
      <c r="M137" s="35"/>
      <c r="N137" s="35"/>
      <c r="O137" s="35"/>
      <c r="P137" s="35"/>
      <c r="Q137" s="35"/>
      <c r="R137" s="181"/>
      <c r="S137" s="35"/>
      <c r="T137" s="35"/>
      <c r="U137" s="37" t="s">
        <v>31</v>
      </c>
      <c r="V137" s="167"/>
      <c r="W137" s="168"/>
      <c r="X137" s="173"/>
      <c r="Z137" s="165" t="str">
        <f>IFERROR(__xludf.DUMMYFUNCTION("""COMPUTED_VALUE"""),"Hoya Species Plant Identification Based on Leaf and Flower Using Convolutional Neural Network Models")</f>
        <v>Hoya Species Plant Identification Based on Leaf and Flower Using Convolutional Neural Network Models</v>
      </c>
      <c r="AA137" s="165" t="str">
        <f>IFERROR(__xludf.DUMMYFUNCTION("""COMPUTED_VALUE"""),"Published")</f>
        <v>Published</v>
      </c>
      <c r="AB137" s="165"/>
      <c r="AC137" s="166" t="str">
        <f>IFERROR(__xludf.DUMMYFUNCTION("""COMPUTED_VALUE"""),"https://doi.org/10.1145/3626641.3626666")</f>
        <v>https://doi.org/10.1145/3626641.3626666</v>
      </c>
    </row>
    <row r="138" ht="15.75" customHeight="1">
      <c r="A138" s="131">
        <v>133.0</v>
      </c>
      <c r="B138" s="58" t="str">
        <f t="shared" si="2"/>
        <v/>
      </c>
      <c r="C138" s="179"/>
      <c r="D138" s="47"/>
      <c r="E138" s="185"/>
      <c r="F138" s="176"/>
      <c r="G138" s="176"/>
      <c r="H138" s="35"/>
      <c r="I138" s="35"/>
      <c r="J138" s="35"/>
      <c r="K138" s="35"/>
      <c r="L138" s="35"/>
      <c r="M138" s="35"/>
      <c r="N138" s="35"/>
      <c r="O138" s="35"/>
      <c r="P138" s="35"/>
      <c r="Q138" s="35"/>
      <c r="R138" s="181"/>
      <c r="S138" s="35"/>
      <c r="T138" s="35"/>
      <c r="U138" s="37" t="s">
        <v>31</v>
      </c>
      <c r="V138" s="167"/>
      <c r="W138" s="168"/>
      <c r="X138" s="173"/>
      <c r="Z138" s="165" t="str">
        <f>IFERROR(__xludf.DUMMYFUNCTION("""COMPUTED_VALUE"""),"Utilizing AR for 3D Geometry Object Visualization")</f>
        <v>Utilizing AR for 3D Geometry Object Visualization</v>
      </c>
      <c r="AA138" s="165" t="str">
        <f>IFERROR(__xludf.DUMMYFUNCTION("""COMPUTED_VALUE"""),"Published")</f>
        <v>Published</v>
      </c>
      <c r="AB138" s="165"/>
      <c r="AC138" s="166" t="str">
        <f>IFERROR(__xludf.DUMMYFUNCTION("""COMPUTED_VALUE"""),"https://doi.org/10.1109/NISS55057.2022.10085172")</f>
        <v>https://doi.org/10.1109/NISS55057.2022.10085172</v>
      </c>
    </row>
    <row r="139" ht="15.75" customHeight="1">
      <c r="A139" s="131">
        <v>134.0</v>
      </c>
      <c r="B139" s="58" t="str">
        <f t="shared" si="2"/>
        <v/>
      </c>
      <c r="C139" s="179"/>
      <c r="D139" s="47"/>
      <c r="E139" s="185"/>
      <c r="F139" s="176"/>
      <c r="G139" s="176"/>
      <c r="H139" s="35"/>
      <c r="I139" s="35"/>
      <c r="J139" s="35"/>
      <c r="K139" s="35"/>
      <c r="L139" s="35"/>
      <c r="M139" s="35"/>
      <c r="N139" s="35"/>
      <c r="O139" s="35"/>
      <c r="P139" s="35"/>
      <c r="Q139" s="35"/>
      <c r="R139" s="181"/>
      <c r="S139" s="35"/>
      <c r="T139" s="35"/>
      <c r="U139" s="37" t="s">
        <v>31</v>
      </c>
      <c r="V139" s="167"/>
      <c r="W139" s="168"/>
      <c r="X139" s="173"/>
      <c r="Z139" s="165" t="str">
        <f>IFERROR(__xludf.DUMMYFUNCTION("""COMPUTED_VALUE"""),"Unlocking the Power of Linked Data for Metadata Enrichment")</f>
        <v>Unlocking the Power of Linked Data for Metadata Enrichment</v>
      </c>
      <c r="AA139" s="165" t="str">
        <f>IFERROR(__xludf.DUMMYFUNCTION("""COMPUTED_VALUE"""),"Published")</f>
        <v>Published</v>
      </c>
      <c r="AB139" s="165"/>
      <c r="AC139" s="166" t="str">
        <f>IFERROR(__xludf.DUMMYFUNCTION("""COMPUTED_VALUE"""),"https://doi.org/10.1109/IC3INA60834.2023.10285760")</f>
        <v>https://doi.org/10.1109/IC3INA60834.2023.10285760</v>
      </c>
    </row>
    <row r="140" ht="15.75" customHeight="1">
      <c r="A140" s="131">
        <v>135.0</v>
      </c>
      <c r="B140" s="58" t="str">
        <f t="shared" si="2"/>
        <v/>
      </c>
      <c r="C140" s="179"/>
      <c r="D140" s="47"/>
      <c r="E140" s="185"/>
      <c r="F140" s="176"/>
      <c r="G140" s="176"/>
      <c r="H140" s="35"/>
      <c r="I140" s="35"/>
      <c r="J140" s="35"/>
      <c r="K140" s="35"/>
      <c r="L140" s="35"/>
      <c r="M140" s="35"/>
      <c r="N140" s="35"/>
      <c r="O140" s="35"/>
      <c r="P140" s="35"/>
      <c r="Q140" s="35"/>
      <c r="R140" s="181"/>
      <c r="S140" s="35"/>
      <c r="T140" s="35"/>
      <c r="U140" s="37" t="s">
        <v>31</v>
      </c>
      <c r="V140" s="167"/>
      <c r="W140" s="168"/>
      <c r="X140" s="173"/>
      <c r="Z140" s="165" t="str">
        <f>IFERROR(__xludf.DUMMYFUNCTION("""COMPUTED_VALUE"""),"Enhancing Machine Learning Models through Hyperparameter Optimization with Particle Swarm Optimization")</f>
        <v>Enhancing Machine Learning Models through Hyperparameter Optimization with Particle Swarm Optimization</v>
      </c>
      <c r="AA140" s="165" t="str">
        <f>IFERROR(__xludf.DUMMYFUNCTION("""COMPUTED_VALUE"""),"Published")</f>
        <v>Published</v>
      </c>
      <c r="AB140" s="165"/>
      <c r="AC140" s="166" t="str">
        <f>IFERROR(__xludf.DUMMYFUNCTION("""COMPUTED_VALUE"""),"https://doi.org/10.1109/IC3INA60834.2023.10285736")</f>
        <v>https://doi.org/10.1109/IC3INA60834.2023.10285736</v>
      </c>
    </row>
    <row r="141" ht="15.75" customHeight="1">
      <c r="A141" s="131">
        <v>136.0</v>
      </c>
      <c r="B141" s="58" t="str">
        <f t="shared" si="2"/>
        <v/>
      </c>
      <c r="C141" s="179"/>
      <c r="D141" s="47"/>
      <c r="E141" s="185"/>
      <c r="F141" s="176"/>
      <c r="G141" s="176"/>
      <c r="H141" s="35"/>
      <c r="I141" s="35"/>
      <c r="J141" s="35"/>
      <c r="K141" s="35"/>
      <c r="L141" s="35"/>
      <c r="M141" s="35"/>
      <c r="N141" s="35"/>
      <c r="O141" s="35"/>
      <c r="P141" s="35"/>
      <c r="Q141" s="35"/>
      <c r="R141" s="181"/>
      <c r="S141" s="35"/>
      <c r="T141" s="35"/>
      <c r="U141" s="37" t="s">
        <v>31</v>
      </c>
      <c r="V141" s="167"/>
      <c r="W141" s="168"/>
      <c r="X141" s="173"/>
      <c r="Z141" s="165" t="str">
        <f>IFERROR(__xludf.DUMMYFUNCTION("""COMPUTED_VALUE"""),"EfficientNetV2 based for MRI brain tumor image classification")</f>
        <v>EfficientNetV2 based for MRI brain tumor image classification</v>
      </c>
      <c r="AA141" s="165" t="str">
        <f>IFERROR(__xludf.DUMMYFUNCTION("""COMPUTED_VALUE"""),"Published")</f>
        <v>Published</v>
      </c>
      <c r="AB141" s="165"/>
      <c r="AC141" s="166" t="str">
        <f>IFERROR(__xludf.DUMMYFUNCTION("""COMPUTED_VALUE"""),"https://doi.org/10.1109/IC3INA60834.2023.10285782")</f>
        <v>https://doi.org/10.1109/IC3INA60834.2023.10285782</v>
      </c>
    </row>
    <row r="142" ht="15.75" customHeight="1">
      <c r="A142" s="131">
        <v>137.0</v>
      </c>
      <c r="B142" s="58" t="str">
        <f t="shared" si="2"/>
        <v/>
      </c>
      <c r="C142" s="179"/>
      <c r="D142" s="47"/>
      <c r="E142" s="185"/>
      <c r="F142" s="176"/>
      <c r="G142" s="176"/>
      <c r="H142" s="35"/>
      <c r="I142" s="35"/>
      <c r="J142" s="35"/>
      <c r="K142" s="35"/>
      <c r="L142" s="35"/>
      <c r="M142" s="35"/>
      <c r="N142" s="35"/>
      <c r="O142" s="35"/>
      <c r="P142" s="35"/>
      <c r="Q142" s="35"/>
      <c r="R142" s="181"/>
      <c r="S142" s="35"/>
      <c r="T142" s="35"/>
      <c r="U142" s="37" t="s">
        <v>31</v>
      </c>
      <c r="V142" s="167"/>
      <c r="W142" s="168"/>
      <c r="X142" s="173"/>
      <c r="Z142" s="165" t="str">
        <f>IFERROR(__xludf.DUMMYFUNCTION("""COMPUTED_VALUE"""),"Predicting Student Performance Through Data Mining: A Case Study in Sultan Ageng Tirtayasa University")</f>
        <v>Predicting Student Performance Through Data Mining: A Case Study in Sultan Ageng Tirtayasa University</v>
      </c>
      <c r="AA142" s="165" t="str">
        <f>IFERROR(__xludf.DUMMYFUNCTION("""COMPUTED_VALUE"""),"Published")</f>
        <v>Published</v>
      </c>
      <c r="AB142" s="165"/>
      <c r="AC142" s="166" t="str">
        <f>IFERROR(__xludf.DUMMYFUNCTION("""COMPUTED_VALUE"""),"https://doi.org/10.20965/jaciii.2023.p1159")</f>
        <v>https://doi.org/10.20965/jaciii.2023.p1159</v>
      </c>
    </row>
    <row r="143" ht="15.75" customHeight="1">
      <c r="A143" s="131">
        <v>138.0</v>
      </c>
      <c r="B143" s="58" t="str">
        <f t="shared" si="2"/>
        <v/>
      </c>
      <c r="C143" s="179"/>
      <c r="D143" s="47"/>
      <c r="E143" s="185"/>
      <c r="F143" s="176"/>
      <c r="G143" s="176"/>
      <c r="H143" s="35"/>
      <c r="I143" s="35"/>
      <c r="J143" s="35"/>
      <c r="K143" s="35"/>
      <c r="L143" s="35"/>
      <c r="M143" s="35"/>
      <c r="N143" s="35"/>
      <c r="O143" s="35"/>
      <c r="P143" s="35"/>
      <c r="Q143" s="35"/>
      <c r="R143" s="181"/>
      <c r="S143" s="35"/>
      <c r="T143" s="35"/>
      <c r="U143" s="37" t="s">
        <v>31</v>
      </c>
      <c r="V143" s="167"/>
      <c r="W143" s="168"/>
      <c r="X143" s="173"/>
      <c r="Z143" s="165" t="str">
        <f>IFERROR(__xludf.DUMMYFUNCTION("""COMPUTED_VALUE"""),"Integrating Digital Repository System for Nuclear Power Plant (NPP) Site Studies in Indonesia")</f>
        <v>Integrating Digital Repository System for Nuclear Power Plant (NPP) Site Studies in Indonesia</v>
      </c>
      <c r="AA143" s="165" t="str">
        <f>IFERROR(__xludf.DUMMYFUNCTION("""COMPUTED_VALUE"""),"Published")</f>
        <v>Published</v>
      </c>
      <c r="AB143" s="165"/>
      <c r="AC143" s="166" t="str">
        <f>IFERROR(__xludf.DUMMYFUNCTION("""COMPUTED_VALUE"""),"https://doi.org/10.1109/IC3INA60834.2023.10285768")</f>
        <v>https://doi.org/10.1109/IC3INA60834.2023.10285768</v>
      </c>
    </row>
    <row r="144" ht="15.75" customHeight="1">
      <c r="A144" s="131">
        <v>139.0</v>
      </c>
      <c r="B144" s="58" t="str">
        <f t="shared" si="2"/>
        <v/>
      </c>
      <c r="C144" s="179"/>
      <c r="D144" s="47"/>
      <c r="E144" s="185"/>
      <c r="F144" s="176"/>
      <c r="G144" s="176"/>
      <c r="H144" s="35"/>
      <c r="I144" s="35"/>
      <c r="J144" s="35"/>
      <c r="K144" s="35"/>
      <c r="L144" s="35"/>
      <c r="M144" s="35"/>
      <c r="N144" s="35"/>
      <c r="O144" s="35"/>
      <c r="P144" s="35"/>
      <c r="Q144" s="35"/>
      <c r="R144" s="181"/>
      <c r="S144" s="35"/>
      <c r="T144" s="35"/>
      <c r="U144" s="37" t="s">
        <v>31</v>
      </c>
      <c r="V144" s="167"/>
      <c r="W144" s="168"/>
      <c r="X144" s="173"/>
      <c r="Z144" s="165" t="str">
        <f>IFERROR(__xludf.DUMMYFUNCTION("""COMPUTED_VALUE"""),"SobatGizi App for Suggesting Adequate Meal Portions")</f>
        <v>SobatGizi App for Suggesting Adequate Meal Portions</v>
      </c>
      <c r="AA144" s="165" t="str">
        <f>IFERROR(__xludf.DUMMYFUNCTION("""COMPUTED_VALUE"""),"Published")</f>
        <v>Published</v>
      </c>
      <c r="AB144" s="165"/>
      <c r="AC144" s="166" t="str">
        <f>IFERROR(__xludf.DUMMYFUNCTION("""COMPUTED_VALUE"""),"https://doi.org/10.1145/3626641.3626677")</f>
        <v>https://doi.org/10.1145/3626641.3626677</v>
      </c>
    </row>
    <row r="145" ht="15.75" customHeight="1">
      <c r="A145" s="131">
        <v>140.0</v>
      </c>
      <c r="B145" s="58" t="str">
        <f t="shared" si="2"/>
        <v/>
      </c>
      <c r="C145" s="179"/>
      <c r="D145" s="47"/>
      <c r="E145" s="185"/>
      <c r="F145" s="176"/>
      <c r="G145" s="176"/>
      <c r="H145" s="35"/>
      <c r="I145" s="35"/>
      <c r="J145" s="35"/>
      <c r="K145" s="35"/>
      <c r="L145" s="35"/>
      <c r="M145" s="35"/>
      <c r="N145" s="35"/>
      <c r="O145" s="35"/>
      <c r="P145" s="35"/>
      <c r="Q145" s="35"/>
      <c r="R145" s="181"/>
      <c r="S145" s="35"/>
      <c r="T145" s="35"/>
      <c r="U145" s="37" t="s">
        <v>31</v>
      </c>
      <c r="V145" s="167"/>
      <c r="W145" s="168"/>
      <c r="X145" s="173"/>
      <c r="Z145" s="165" t="str">
        <f>IFERROR(__xludf.DUMMYFUNCTION("""COMPUTED_VALUE"""),"A Knowledge Graph–based Integration Approach for Research Digital Artifacts")</f>
        <v>A Knowledge Graph–based Integration Approach for Research Digital Artifacts</v>
      </c>
      <c r="AA145" s="165" t="str">
        <f>IFERROR(__xludf.DUMMYFUNCTION("""COMPUTED_VALUE"""),"Published")</f>
        <v>Published</v>
      </c>
      <c r="AB145" s="165"/>
      <c r="AC145" s="166" t="str">
        <f>IFERROR(__xludf.DUMMYFUNCTION("""COMPUTED_VALUE"""),"https://ieeexplore.ieee.org/document/10144424")</f>
        <v>https://ieeexplore.ieee.org/document/10144424</v>
      </c>
    </row>
    <row r="146" ht="15.75" customHeight="1">
      <c r="A146" s="131">
        <v>141.0</v>
      </c>
      <c r="B146" s="58" t="str">
        <f t="shared" si="2"/>
        <v/>
      </c>
      <c r="C146" s="179"/>
      <c r="D146" s="47"/>
      <c r="E146" s="185"/>
      <c r="F146" s="176"/>
      <c r="G146" s="176"/>
      <c r="H146" s="35"/>
      <c r="I146" s="35"/>
      <c r="J146" s="35"/>
      <c r="K146" s="35"/>
      <c r="L146" s="35"/>
      <c r="M146" s="35"/>
      <c r="N146" s="35"/>
      <c r="O146" s="35"/>
      <c r="P146" s="35"/>
      <c r="Q146" s="35"/>
      <c r="R146" s="181"/>
      <c r="S146" s="35"/>
      <c r="T146" s="35"/>
      <c r="U146" s="37" t="s">
        <v>31</v>
      </c>
      <c r="V146" s="167"/>
      <c r="W146" s="168"/>
      <c r="X146" s="173"/>
      <c r="Z146" s="165" t="str">
        <f>IFERROR(__xludf.DUMMYFUNCTION("""COMPUTED_VALUE"""),"Artificial Intelligence and Machine Learning Innovation in SDGs")</f>
        <v>Artificial Intelligence and Machine Learning Innovation in SDGs</v>
      </c>
      <c r="AA146" s="165" t="str">
        <f>IFERROR(__xludf.DUMMYFUNCTION("""COMPUTED_VALUE"""),"Published")</f>
        <v>Published</v>
      </c>
      <c r="AB146" s="165"/>
      <c r="AC146" s="165" t="str">
        <f>IFERROR(__xludf.DUMMYFUNCTION("""COMPUTED_VALUE"""),"10.4018/978G1G7998G9220G5.ch154")</f>
        <v>10.4018/978G1G7998G9220G5.ch154</v>
      </c>
    </row>
    <row r="147" ht="15.75" customHeight="1">
      <c r="A147" s="131">
        <v>142.0</v>
      </c>
      <c r="B147" s="58" t="str">
        <f t="shared" si="2"/>
        <v/>
      </c>
      <c r="C147" s="179"/>
      <c r="D147" s="47"/>
      <c r="E147" s="185"/>
      <c r="F147" s="176"/>
      <c r="G147" s="176"/>
      <c r="H147" s="35"/>
      <c r="I147" s="35"/>
      <c r="J147" s="35"/>
      <c r="K147" s="35"/>
      <c r="L147" s="35"/>
      <c r="M147" s="35"/>
      <c r="N147" s="35"/>
      <c r="O147" s="35"/>
      <c r="P147" s="35"/>
      <c r="Q147" s="35"/>
      <c r="R147" s="181"/>
      <c r="S147" s="35"/>
      <c r="T147" s="35"/>
      <c r="U147" s="37" t="s">
        <v>31</v>
      </c>
      <c r="V147" s="167"/>
      <c r="W147" s="168"/>
      <c r="X147" s="173"/>
      <c r="Z147" s="165" t="str">
        <f>IFERROR(__xludf.DUMMYFUNCTION("""COMPUTED_VALUE"""),"The Recommendation Augmented Reality: For Maritime Navigation Applications in Indonesia")</f>
        <v>The Recommendation Augmented Reality: For Maritime Navigation Applications in Indonesia</v>
      </c>
      <c r="AA147" s="165" t="str">
        <f>IFERROR(__xludf.DUMMYFUNCTION("""COMPUTED_VALUE"""),"Published")</f>
        <v>Published</v>
      </c>
      <c r="AB147" s="165"/>
      <c r="AC147" s="166" t="str">
        <f>IFERROR(__xludf.DUMMYFUNCTION("""COMPUTED_VALUE"""),"https://doi.org/10.1145/3575882.3575930")</f>
        <v>https://doi.org/10.1145/3575882.3575930</v>
      </c>
    </row>
    <row r="148" ht="15.75" customHeight="1">
      <c r="A148" s="131">
        <v>143.0</v>
      </c>
      <c r="B148" s="58" t="str">
        <f t="shared" si="2"/>
        <v/>
      </c>
      <c r="C148" s="179"/>
      <c r="D148" s="47"/>
      <c r="E148" s="185"/>
      <c r="F148" s="176"/>
      <c r="G148" s="176"/>
      <c r="H148" s="35"/>
      <c r="I148" s="35"/>
      <c r="J148" s="35"/>
      <c r="K148" s="35"/>
      <c r="L148" s="35"/>
      <c r="M148" s="35"/>
      <c r="N148" s="35"/>
      <c r="O148" s="35"/>
      <c r="P148" s="35"/>
      <c r="Q148" s="35"/>
      <c r="R148" s="181"/>
      <c r="S148" s="35"/>
      <c r="T148" s="35"/>
      <c r="U148" s="37" t="s">
        <v>31</v>
      </c>
      <c r="V148" s="167"/>
      <c r="W148" s="168"/>
      <c r="X148" s="173"/>
      <c r="Z148" s="165" t="str">
        <f>IFERROR(__xludf.DUMMYFUNCTION("""COMPUTED_VALUE"""),"The natural warning signs of tsunami earthquake in Indonesia: case of the 2006 Cilacap event")</f>
        <v>The natural warning signs of tsunami earthquake in Indonesia: case of the 2006 Cilacap event</v>
      </c>
      <c r="AA148" s="165" t="str">
        <f>IFERROR(__xludf.DUMMYFUNCTION("""COMPUTED_VALUE"""),"Published")</f>
        <v>Published</v>
      </c>
      <c r="AB148" s="165"/>
      <c r="AC148" s="166" t="str">
        <f>IFERROR(__xludf.DUMMYFUNCTION("""COMPUTED_VALUE"""),"https://doi.org/10.1080/17477891.2023.2190871")</f>
        <v>https://doi.org/10.1080/17477891.2023.2190871</v>
      </c>
    </row>
    <row r="149" ht="15.75" customHeight="1">
      <c r="A149" s="131">
        <v>144.0</v>
      </c>
      <c r="B149" s="58" t="str">
        <f t="shared" si="2"/>
        <v/>
      </c>
      <c r="C149" s="179"/>
      <c r="D149" s="47"/>
      <c r="E149" s="185"/>
      <c r="F149" s="176"/>
      <c r="G149" s="176"/>
      <c r="H149" s="35"/>
      <c r="I149" s="35"/>
      <c r="J149" s="35"/>
      <c r="K149" s="35"/>
      <c r="L149" s="35"/>
      <c r="M149" s="35"/>
      <c r="N149" s="35"/>
      <c r="O149" s="35"/>
      <c r="P149" s="35"/>
      <c r="Q149" s="35"/>
      <c r="R149" s="181"/>
      <c r="S149" s="35"/>
      <c r="T149" s="35"/>
      <c r="U149" s="37" t="s">
        <v>31</v>
      </c>
      <c r="V149" s="167"/>
      <c r="W149" s="168"/>
      <c r="X149" s="173"/>
      <c r="Z149" s="165" t="str">
        <f>IFERROR(__xludf.DUMMYFUNCTION("""COMPUTED_VALUE"""),"A Review: Augmented Reality Technology-Based Interactive Learning Media")</f>
        <v>A Review: Augmented Reality Technology-Based Interactive Learning Media</v>
      </c>
      <c r="AA149" s="165" t="str">
        <f>IFERROR(__xludf.DUMMYFUNCTION("""COMPUTED_VALUE"""),"Published")</f>
        <v>Published</v>
      </c>
      <c r="AB149" s="165"/>
      <c r="AC149" s="165" t="str">
        <f>IFERROR(__xludf.DUMMYFUNCTION("""COMPUTED_VALUE"""),"10.1109/NISS55057.2022.10085418")</f>
        <v>10.1109/NISS55057.2022.10085418</v>
      </c>
    </row>
    <row r="150" ht="15.75" customHeight="1">
      <c r="A150" s="131">
        <v>145.0</v>
      </c>
      <c r="B150" s="58" t="str">
        <f t="shared" si="2"/>
        <v/>
      </c>
      <c r="C150" s="179"/>
      <c r="D150" s="47"/>
      <c r="E150" s="185"/>
      <c r="F150" s="176"/>
      <c r="G150" s="176"/>
      <c r="H150" s="35"/>
      <c r="I150" s="35"/>
      <c r="J150" s="35"/>
      <c r="K150" s="35"/>
      <c r="L150" s="35"/>
      <c r="M150" s="35"/>
      <c r="N150" s="35"/>
      <c r="O150" s="35"/>
      <c r="P150" s="35"/>
      <c r="Q150" s="35"/>
      <c r="R150" s="181"/>
      <c r="S150" s="35"/>
      <c r="T150" s="35"/>
      <c r="U150" s="37" t="s">
        <v>31</v>
      </c>
      <c r="V150" s="167"/>
      <c r="W150" s="168"/>
      <c r="X150" s="173"/>
      <c r="Z150" s="165" t="str">
        <f>IFERROR(__xludf.DUMMYFUNCTION("""COMPUTED_VALUE"""),"Conceptual design of charging stations for autonomous vehicle")</f>
        <v>Conceptual design of charging stations for autonomous vehicle</v>
      </c>
      <c r="AA150" s="165" t="str">
        <f>IFERROR(__xludf.DUMMYFUNCTION("""COMPUTED_VALUE"""),"Published")</f>
        <v>Published</v>
      </c>
      <c r="AB150" s="165"/>
      <c r="AC150" s="165" t="str">
        <f>IFERROR(__xludf.DUMMYFUNCTION("""COMPUTED_VALUE"""),"10.1109/NISS55057.2022.10085028")</f>
        <v>10.1109/NISS55057.2022.10085028</v>
      </c>
    </row>
    <row r="151" ht="15.75" customHeight="1">
      <c r="A151" s="131">
        <v>146.0</v>
      </c>
      <c r="B151" s="58" t="str">
        <f t="shared" si="2"/>
        <v/>
      </c>
      <c r="C151" s="179"/>
      <c r="D151" s="47"/>
      <c r="E151" s="185"/>
      <c r="F151" s="176"/>
      <c r="G151" s="176"/>
      <c r="H151" s="35"/>
      <c r="I151" s="35"/>
      <c r="J151" s="35"/>
      <c r="K151" s="35"/>
      <c r="L151" s="35"/>
      <c r="M151" s="35"/>
      <c r="N151" s="35"/>
      <c r="O151" s="35"/>
      <c r="P151" s="35"/>
      <c r="Q151" s="35"/>
      <c r="R151" s="181"/>
      <c r="S151" s="35"/>
      <c r="T151" s="35"/>
      <c r="U151" s="37" t="s">
        <v>31</v>
      </c>
      <c r="V151" s="167"/>
      <c r="W151" s="168"/>
      <c r="X151" s="173"/>
      <c r="Z151" s="165" t="str">
        <f>IFERROR(__xludf.DUMMYFUNCTION("""COMPUTED_VALUE"""),"UAV-Photogrammetry Specification for Generating 3D-Orthomosaic in Case of 3D Animation Modelling")</f>
        <v>UAV-Photogrammetry Specification for Generating 3D-Orthomosaic in Case of 3D Animation Modelling</v>
      </c>
      <c r="AA151" s="165" t="str">
        <f>IFERROR(__xludf.DUMMYFUNCTION("""COMPUTED_VALUE"""),"Published")</f>
        <v>Published</v>
      </c>
      <c r="AB151" s="165"/>
      <c r="AC151" s="166" t="str">
        <f>IFERROR(__xludf.DUMMYFUNCTION("""COMPUTED_VALUE"""),"https://doi.org/10.1145/3575882.3575933")</f>
        <v>https://doi.org/10.1145/3575882.3575933</v>
      </c>
    </row>
    <row r="152" ht="15.75" customHeight="1">
      <c r="A152" s="131">
        <v>147.0</v>
      </c>
      <c r="B152" s="58" t="str">
        <f t="shared" si="2"/>
        <v/>
      </c>
      <c r="C152" s="179"/>
      <c r="D152" s="47"/>
      <c r="E152" s="185"/>
      <c r="F152" s="176"/>
      <c r="G152" s="176"/>
      <c r="H152" s="35"/>
      <c r="I152" s="35"/>
      <c r="J152" s="35"/>
      <c r="K152" s="35"/>
      <c r="L152" s="35"/>
      <c r="M152" s="35"/>
      <c r="N152" s="35"/>
      <c r="O152" s="35"/>
      <c r="P152" s="35"/>
      <c r="Q152" s="35"/>
      <c r="R152" s="181"/>
      <c r="S152" s="35"/>
      <c r="T152" s="35"/>
      <c r="U152" s="37" t="s">
        <v>31</v>
      </c>
      <c r="V152" s="167"/>
      <c r="W152" s="168"/>
      <c r="X152" s="173"/>
      <c r="Z152" s="165" t="str">
        <f>IFERROR(__xludf.DUMMYFUNCTION("""COMPUTED_VALUE"""),"Spatial Analysis of Flora Habitat Characteristics in East Kalimantan")</f>
        <v>Spatial Analysis of Flora Habitat Characteristics in East Kalimantan</v>
      </c>
      <c r="AA152" s="165" t="str">
        <f>IFERROR(__xludf.DUMMYFUNCTION("""COMPUTED_VALUE"""),"Published")</f>
        <v>Published</v>
      </c>
      <c r="AB152" s="165"/>
      <c r="AC152" s="165" t="str">
        <f>IFERROR(__xludf.DUMMYFUNCTION("""COMPUTED_VALUE"""),"DOI: 10.1109/AGERS56232.2022.10093504")</f>
        <v>DOI: 10.1109/AGERS56232.2022.10093504</v>
      </c>
    </row>
    <row r="153" ht="15.75" customHeight="1">
      <c r="A153" s="131">
        <v>148.0</v>
      </c>
      <c r="B153" s="58" t="str">
        <f t="shared" si="2"/>
        <v/>
      </c>
      <c r="C153" s="179"/>
      <c r="D153" s="47"/>
      <c r="E153" s="185"/>
      <c r="F153" s="176"/>
      <c r="G153" s="176"/>
      <c r="H153" s="35"/>
      <c r="I153" s="35"/>
      <c r="J153" s="35"/>
      <c r="K153" s="35"/>
      <c r="L153" s="35"/>
      <c r="M153" s="35"/>
      <c r="N153" s="35"/>
      <c r="O153" s="35"/>
      <c r="P153" s="35"/>
      <c r="Q153" s="35"/>
      <c r="R153" s="181"/>
      <c r="S153" s="35"/>
      <c r="T153" s="35"/>
      <c r="U153" s="37" t="s">
        <v>31</v>
      </c>
      <c r="V153" s="167"/>
      <c r="W153" s="168"/>
      <c r="X153" s="173"/>
      <c r="Z153" s="165" t="str">
        <f>IFERROR(__xludf.DUMMYFUNCTION("""COMPUTED_VALUE"""),"Implementation of Road Segmentation Using U-Net Model on Single Board Computer")</f>
        <v>Implementation of Road Segmentation Using U-Net Model on Single Board Computer</v>
      </c>
      <c r="AA153" s="165" t="str">
        <f>IFERROR(__xludf.DUMMYFUNCTION("""COMPUTED_VALUE"""),"Published")</f>
        <v>Published</v>
      </c>
      <c r="AB153" s="165"/>
      <c r="AC153" s="166" t="str">
        <f>IFERROR(__xludf.DUMMYFUNCTION("""COMPUTED_VALUE"""),"https://doi.org/10.1145/3575882.3575928")</f>
        <v>https://doi.org/10.1145/3575882.3575928</v>
      </c>
    </row>
    <row r="154" ht="15.75" customHeight="1">
      <c r="A154" s="131">
        <v>149.0</v>
      </c>
      <c r="B154" s="58" t="str">
        <f t="shared" si="2"/>
        <v/>
      </c>
      <c r="C154" s="179"/>
      <c r="D154" s="47"/>
      <c r="E154" s="185"/>
      <c r="F154" s="176"/>
      <c r="G154" s="176"/>
      <c r="H154" s="35"/>
      <c r="I154" s="35"/>
      <c r="J154" s="35"/>
      <c r="K154" s="35"/>
      <c r="L154" s="35"/>
      <c r="M154" s="35"/>
      <c r="N154" s="35"/>
      <c r="O154" s="35"/>
      <c r="P154" s="35"/>
      <c r="Q154" s="35"/>
      <c r="R154" s="181"/>
      <c r="S154" s="35"/>
      <c r="T154" s="35"/>
      <c r="U154" s="37" t="s">
        <v>31</v>
      </c>
      <c r="V154" s="167"/>
      <c r="W154" s="168"/>
      <c r="X154" s="173"/>
      <c r="Z154" s="165" t="str">
        <f>IFERROR(__xludf.DUMMYFUNCTION("""COMPUTED_VALUE"""),"Hand Skeleton Graph Feature for Indonesian Sign Language (BISINDO) Recognition Based on Computer Vision")</f>
        <v>Hand Skeleton Graph Feature for Indonesian Sign Language (BISINDO) Recognition Based on Computer Vision</v>
      </c>
      <c r="AA154" s="165" t="str">
        <f>IFERROR(__xludf.DUMMYFUNCTION("""COMPUTED_VALUE"""),"Published")</f>
        <v>Published</v>
      </c>
      <c r="AB154" s="165"/>
      <c r="AC154" s="166" t="str">
        <f>IFERROR(__xludf.DUMMYFUNCTION("""COMPUTED_VALUE"""),"https://doi.org/10.1145/3575882.3575931")</f>
        <v>https://doi.org/10.1145/3575882.3575931</v>
      </c>
    </row>
    <row r="155" ht="15.75" customHeight="1">
      <c r="A155" s="131">
        <v>150.0</v>
      </c>
      <c r="B155" s="58" t="str">
        <f t="shared" si="2"/>
        <v/>
      </c>
      <c r="C155" s="179"/>
      <c r="D155" s="47"/>
      <c r="E155" s="185"/>
      <c r="F155" s="176"/>
      <c r="G155" s="176"/>
      <c r="H155" s="35"/>
      <c r="I155" s="35"/>
      <c r="J155" s="35"/>
      <c r="K155" s="35"/>
      <c r="L155" s="35"/>
      <c r="M155" s="35"/>
      <c r="N155" s="35"/>
      <c r="O155" s="35"/>
      <c r="P155" s="35"/>
      <c r="Q155" s="35"/>
      <c r="R155" s="181"/>
      <c r="S155" s="35"/>
      <c r="T155" s="35"/>
      <c r="U155" s="37" t="s">
        <v>31</v>
      </c>
      <c r="V155" s="167"/>
      <c r="W155" s="168"/>
      <c r="X155" s="173"/>
      <c r="Z155" s="165" t="str">
        <f>IFERROR(__xludf.DUMMYFUNCTION("""COMPUTED_VALUE"""),"Mandibular segmentation on panoramic radiographs with CNN Transfer Learning")</f>
        <v>Mandibular segmentation on panoramic radiographs with CNN Transfer Learning</v>
      </c>
      <c r="AA155" s="165" t="str">
        <f>IFERROR(__xludf.DUMMYFUNCTION("""COMPUTED_VALUE"""),"Published")</f>
        <v>Published</v>
      </c>
      <c r="AB155" s="165"/>
      <c r="AC155" s="165" t="str">
        <f>IFERROR(__xludf.DUMMYFUNCTION("""COMPUTED_VALUE"""),"10.1109/COMNETSAT56033.2022.9994407")</f>
        <v>10.1109/COMNETSAT56033.2022.9994407</v>
      </c>
    </row>
    <row r="156" ht="15.75" customHeight="1">
      <c r="A156" s="131">
        <v>151.0</v>
      </c>
      <c r="B156" s="58" t="str">
        <f t="shared" si="2"/>
        <v/>
      </c>
      <c r="C156" s="179"/>
      <c r="D156" s="47"/>
      <c r="E156" s="185"/>
      <c r="F156" s="176"/>
      <c r="G156" s="176"/>
      <c r="H156" s="35"/>
      <c r="I156" s="35"/>
      <c r="J156" s="35"/>
      <c r="K156" s="35"/>
      <c r="L156" s="35"/>
      <c r="M156" s="35"/>
      <c r="N156" s="35"/>
      <c r="O156" s="35"/>
      <c r="P156" s="35"/>
      <c r="Q156" s="35"/>
      <c r="R156" s="181"/>
      <c r="S156" s="35"/>
      <c r="T156" s="35"/>
      <c r="U156" s="37" t="s">
        <v>31</v>
      </c>
      <c r="V156" s="167"/>
      <c r="W156" s="168"/>
      <c r="X156" s="173"/>
      <c r="Z156" s="165" t="str">
        <f>IFERROR(__xludf.DUMMYFUNCTION("""COMPUTED_VALUE"""),"Wood Classification using Convolutional Neural Networks and Vessel Features on Limited Dataset")</f>
        <v>Wood Classification using Convolutional Neural Networks and Vessel Features on Limited Dataset</v>
      </c>
      <c r="AA156" s="165" t="str">
        <f>IFERROR(__xludf.DUMMYFUNCTION("""COMPUTED_VALUE"""),"Published")</f>
        <v>Published</v>
      </c>
      <c r="AB156" s="165"/>
      <c r="AC156" s="166" t="str">
        <f>IFERROR(__xludf.DUMMYFUNCTION("""COMPUTED_VALUE"""),"http://dx.doi.org/10.12785/ijcds/130191")</f>
        <v>http://dx.doi.org/10.12785/ijcds/130191</v>
      </c>
    </row>
    <row r="157" ht="15.75" customHeight="1">
      <c r="A157" s="131">
        <v>152.0</v>
      </c>
      <c r="B157" s="58" t="str">
        <f t="shared" si="2"/>
        <v/>
      </c>
      <c r="C157" s="179"/>
      <c r="D157" s="47"/>
      <c r="E157" s="185"/>
      <c r="F157" s="176"/>
      <c r="G157" s="176"/>
      <c r="H157" s="35"/>
      <c r="I157" s="35"/>
      <c r="J157" s="35"/>
      <c r="K157" s="35"/>
      <c r="L157" s="35"/>
      <c r="M157" s="35"/>
      <c r="N157" s="35"/>
      <c r="O157" s="35"/>
      <c r="P157" s="35"/>
      <c r="Q157" s="35"/>
      <c r="R157" s="181"/>
      <c r="S157" s="35"/>
      <c r="T157" s="35"/>
      <c r="U157" s="37" t="s">
        <v>31</v>
      </c>
      <c r="V157" s="167"/>
      <c r="W157" s="168"/>
      <c r="X157" s="173"/>
      <c r="Z157" s="165" t="str">
        <f>IFERROR(__xludf.DUMMYFUNCTION("""COMPUTED_VALUE"""),"System of gender identification and age estimation from radiography: a review")</f>
        <v>System of gender identification and age estimation from radiography: a review</v>
      </c>
      <c r="AA157" s="165" t="str">
        <f>IFERROR(__xludf.DUMMYFUNCTION("""COMPUTED_VALUE"""),"Published")</f>
        <v>Published</v>
      </c>
      <c r="AB157" s="165"/>
      <c r="AC157" s="166" t="str">
        <f>IFERROR(__xludf.DUMMYFUNCTION("""COMPUTED_VALUE"""),"http://doi.org/10.11591/ijece.v13i5.pp5491-5500")</f>
        <v>http://doi.org/10.11591/ijece.v13i5.pp5491-5500</v>
      </c>
    </row>
    <row r="158" ht="15.75" customHeight="1">
      <c r="A158" s="131">
        <v>153.0</v>
      </c>
      <c r="B158" s="58" t="str">
        <f t="shared" si="2"/>
        <v/>
      </c>
      <c r="C158" s="179"/>
      <c r="D158" s="47"/>
      <c r="E158" s="185"/>
      <c r="F158" s="176"/>
      <c r="G158" s="176"/>
      <c r="H158" s="35"/>
      <c r="I158" s="35"/>
      <c r="J158" s="35"/>
      <c r="K158" s="35"/>
      <c r="L158" s="35"/>
      <c r="M158" s="35"/>
      <c r="N158" s="35"/>
      <c r="O158" s="35"/>
      <c r="P158" s="35"/>
      <c r="Q158" s="35"/>
      <c r="R158" s="181"/>
      <c r="S158" s="35"/>
      <c r="T158" s="35"/>
      <c r="U158" s="37" t="s">
        <v>31</v>
      </c>
      <c r="V158" s="167"/>
      <c r="W158" s="168"/>
      <c r="X158" s="173"/>
      <c r="Z158" s="165" t="str">
        <f>IFERROR(__xludf.DUMMYFUNCTION("""COMPUTED_VALUE"""),"Indonesian First National Suicide Prevention Strategy: Key Findings from the Qualitative Situational Analysis")</f>
        <v>Indonesian First National Suicide Prevention Strategy: Key Findings from the Qualitative Situational Analysis</v>
      </c>
      <c r="AA158" s="165" t="str">
        <f>IFERROR(__xludf.DUMMYFUNCTION("""COMPUTED_VALUE"""),"Published")</f>
        <v>Published</v>
      </c>
      <c r="AB158" s="165"/>
      <c r="AC158" s="166" t="str">
        <f>IFERROR(__xludf.DUMMYFUNCTION("""COMPUTED_VALUE"""),"https://doi.org/10.1016/j.lansea.2023.100245")</f>
        <v>https://doi.org/10.1016/j.lansea.2023.100245</v>
      </c>
    </row>
    <row r="159" ht="15.75" customHeight="1">
      <c r="A159" s="131">
        <v>154.0</v>
      </c>
      <c r="B159" s="58" t="str">
        <f t="shared" si="2"/>
        <v/>
      </c>
      <c r="C159" s="179"/>
      <c r="D159" s="47"/>
      <c r="E159" s="185"/>
      <c r="F159" s="176"/>
      <c r="G159" s="176"/>
      <c r="H159" s="35"/>
      <c r="I159" s="35"/>
      <c r="J159" s="35"/>
      <c r="K159" s="35"/>
      <c r="L159" s="35"/>
      <c r="M159" s="35"/>
      <c r="N159" s="35"/>
      <c r="O159" s="35"/>
      <c r="P159" s="35"/>
      <c r="Q159" s="35"/>
      <c r="R159" s="181"/>
      <c r="S159" s="35"/>
      <c r="T159" s="35"/>
      <c r="U159" s="37" t="s">
        <v>31</v>
      </c>
      <c r="V159" s="167"/>
      <c r="W159" s="168"/>
      <c r="X159" s="173"/>
      <c r="Z159" s="165" t="str">
        <f>IFERROR(__xludf.DUMMYFUNCTION("""COMPUTED_VALUE"""),"Designing Earthquake Monitoring System Using Earthquake Catcher Network")</f>
        <v>Designing Earthquake Monitoring System Using Earthquake Catcher Network</v>
      </c>
      <c r="AA159" s="165" t="str">
        <f>IFERROR(__xludf.DUMMYFUNCTION("""COMPUTED_VALUE"""),"Published")</f>
        <v>Published</v>
      </c>
      <c r="AB159" s="165"/>
      <c r="AC159" s="166" t="str">
        <f>IFERROR(__xludf.DUMMYFUNCTION("""COMPUTED_VALUE"""),"https://doi.org/10.1145/3575882.3575888")</f>
        <v>https://doi.org/10.1145/3575882.3575888</v>
      </c>
    </row>
    <row r="160" ht="15.75" customHeight="1">
      <c r="A160" s="131">
        <v>155.0</v>
      </c>
      <c r="B160" s="58" t="str">
        <f t="shared" si="2"/>
        <v/>
      </c>
      <c r="C160" s="179"/>
      <c r="D160" s="47"/>
      <c r="E160" s="185"/>
      <c r="F160" s="176"/>
      <c r="G160" s="176"/>
      <c r="H160" s="35"/>
      <c r="I160" s="35"/>
      <c r="J160" s="35"/>
      <c r="K160" s="35"/>
      <c r="L160" s="35"/>
      <c r="M160" s="35"/>
      <c r="N160" s="35"/>
      <c r="O160" s="35"/>
      <c r="P160" s="35"/>
      <c r="Q160" s="35"/>
      <c r="R160" s="181"/>
      <c r="S160" s="35"/>
      <c r="T160" s="35"/>
      <c r="U160" s="37" t="s">
        <v>31</v>
      </c>
      <c r="V160" s="167"/>
      <c r="W160" s="168"/>
      <c r="X160" s="173"/>
      <c r="Z160" s="165" t="str">
        <f>IFERROR(__xludf.DUMMYFUNCTION("""COMPUTED_VALUE"""),"Indigenous knowledge of disaster risk reduction in Indonesia")</f>
        <v>Indigenous knowledge of disaster risk reduction in Indonesia</v>
      </c>
      <c r="AA160" s="165" t="str">
        <f>IFERROR(__xludf.DUMMYFUNCTION("""COMPUTED_VALUE"""),"Published")</f>
        <v>Published</v>
      </c>
      <c r="AB160" s="165"/>
      <c r="AC160" s="165"/>
    </row>
    <row r="161" ht="15.75" customHeight="1">
      <c r="A161" s="131">
        <v>156.0</v>
      </c>
      <c r="B161" s="58" t="str">
        <f t="shared" si="2"/>
        <v/>
      </c>
      <c r="C161" s="179"/>
      <c r="D161" s="47"/>
      <c r="E161" s="185"/>
      <c r="F161" s="176"/>
      <c r="G161" s="176"/>
      <c r="H161" s="35"/>
      <c r="I161" s="35"/>
      <c r="J161" s="35"/>
      <c r="K161" s="35"/>
      <c r="L161" s="35"/>
      <c r="M161" s="35"/>
      <c r="N161" s="35"/>
      <c r="O161" s="35"/>
      <c r="P161" s="35"/>
      <c r="Q161" s="35"/>
      <c r="R161" s="181"/>
      <c r="S161" s="35"/>
      <c r="T161" s="35"/>
      <c r="U161" s="37" t="s">
        <v>31</v>
      </c>
      <c r="V161" s="167"/>
      <c r="W161" s="168"/>
      <c r="X161" s="173"/>
      <c r="Z161" s="165" t="str">
        <f>IFERROR(__xludf.DUMMYFUNCTION("""COMPUTED_VALUE"""),"Determining Natural Disaster Mitigation Level using Unsupervised k-means Clustering")</f>
        <v>Determining Natural Disaster Mitigation Level using Unsupervised k-means Clustering</v>
      </c>
      <c r="AA161" s="165" t="str">
        <f>IFERROR(__xludf.DUMMYFUNCTION("""COMPUTED_VALUE"""),"Published")</f>
        <v>Published</v>
      </c>
      <c r="AB161" s="165"/>
      <c r="AC161" s="166" t="str">
        <f>IFERROR(__xludf.DUMMYFUNCTION("""COMPUTED_VALUE"""),"https://doi.org/10.1109/NISS55057.2022.10085620")</f>
        <v>https://doi.org/10.1109/NISS55057.2022.10085620</v>
      </c>
    </row>
    <row r="162" ht="15.75" customHeight="1">
      <c r="A162" s="131">
        <v>157.0</v>
      </c>
      <c r="B162" s="58" t="str">
        <f t="shared" si="2"/>
        <v/>
      </c>
      <c r="C162" s="179"/>
      <c r="D162" s="47"/>
      <c r="E162" s="185"/>
      <c r="F162" s="176"/>
      <c r="G162" s="176"/>
      <c r="H162" s="35"/>
      <c r="I162" s="35"/>
      <c r="J162" s="35"/>
      <c r="K162" s="35"/>
      <c r="L162" s="35"/>
      <c r="M162" s="35"/>
      <c r="N162" s="35"/>
      <c r="O162" s="35"/>
      <c r="P162" s="35"/>
      <c r="Q162" s="35"/>
      <c r="R162" s="181"/>
      <c r="S162" s="35"/>
      <c r="T162" s="35"/>
      <c r="U162" s="37" t="s">
        <v>31</v>
      </c>
      <c r="V162" s="167"/>
      <c r="W162" s="168"/>
      <c r="X162" s="173"/>
      <c r="Z162" s="165" t="str">
        <f>IFERROR(__xludf.DUMMYFUNCTION("""COMPUTED_VALUE"""),"Design of Indonesian Culture Game Assets to Assist the Promotion of Culture Tourism")</f>
        <v>Design of Indonesian Culture Game Assets to Assist the Promotion of Culture Tourism</v>
      </c>
      <c r="AA162" s="165" t="str">
        <f>IFERROR(__xludf.DUMMYFUNCTION("""COMPUTED_VALUE"""),"Published")</f>
        <v>Published</v>
      </c>
      <c r="AB162" s="165"/>
      <c r="AC162" s="166" t="str">
        <f>IFERROR(__xludf.DUMMYFUNCTION("""COMPUTED_VALUE"""),"https://doi.org/10.1109/IC3INA60834.2023.10285781")</f>
        <v>https://doi.org/10.1109/IC3INA60834.2023.10285781</v>
      </c>
    </row>
    <row r="163" ht="15.75" customHeight="1">
      <c r="A163" s="131">
        <v>158.0</v>
      </c>
      <c r="B163" s="58" t="str">
        <f t="shared" si="2"/>
        <v/>
      </c>
      <c r="C163" s="179"/>
      <c r="D163" s="47"/>
      <c r="E163" s="185"/>
      <c r="F163" s="176"/>
      <c r="G163" s="176"/>
      <c r="H163" s="35"/>
      <c r="I163" s="35"/>
      <c r="J163" s="35"/>
      <c r="K163" s="35"/>
      <c r="L163" s="35"/>
      <c r="M163" s="35"/>
      <c r="N163" s="35"/>
      <c r="O163" s="35"/>
      <c r="P163" s="35"/>
      <c r="Q163" s="35"/>
      <c r="R163" s="181"/>
      <c r="S163" s="35"/>
      <c r="T163" s="35"/>
      <c r="U163" s="37" t="s">
        <v>31</v>
      </c>
      <c r="V163" s="167"/>
      <c r="W163" s="168"/>
      <c r="X163" s="173"/>
      <c r="Z163" s="165" t="str">
        <f>IFERROR(__xludf.DUMMYFUNCTION("""COMPUTED_VALUE"""),"Identification of banana ripeness using convolutional neural network approaches")</f>
        <v>Identification of banana ripeness using convolutional neural network approaches</v>
      </c>
      <c r="AA163" s="165" t="str">
        <f>IFERROR(__xludf.DUMMYFUNCTION("""COMPUTED_VALUE"""),"Published")</f>
        <v>Published</v>
      </c>
      <c r="AB163" s="165"/>
      <c r="AC163" s="166" t="str">
        <f>IFERROR(__xludf.DUMMYFUNCTION("""COMPUTED_VALUE"""),"https://doi.org/10.1109/IC3INA60834.2023.10285749")</f>
        <v>https://doi.org/10.1109/IC3INA60834.2023.10285749</v>
      </c>
    </row>
    <row r="164" ht="15.75" customHeight="1">
      <c r="A164" s="131">
        <v>159.0</v>
      </c>
      <c r="B164" s="58" t="str">
        <f t="shared" si="2"/>
        <v/>
      </c>
      <c r="C164" s="179"/>
      <c r="D164" s="47"/>
      <c r="E164" s="185"/>
      <c r="F164" s="176"/>
      <c r="G164" s="176"/>
      <c r="H164" s="35"/>
      <c r="I164" s="35"/>
      <c r="J164" s="35"/>
      <c r="K164" s="35"/>
      <c r="L164" s="35"/>
      <c r="M164" s="35"/>
      <c r="N164" s="35"/>
      <c r="O164" s="35"/>
      <c r="P164" s="35"/>
      <c r="Q164" s="35"/>
      <c r="R164" s="181"/>
      <c r="S164" s="35"/>
      <c r="T164" s="35"/>
      <c r="U164" s="37" t="s">
        <v>31</v>
      </c>
      <c r="V164" s="167"/>
      <c r="W164" s="168"/>
      <c r="X164" s="173"/>
      <c r="Z164" s="165" t="str">
        <f>IFERROR(__xludf.DUMMYFUNCTION("""COMPUTED_VALUE"""),"Web-Based Decision Support System of Employee Admission Using Multi Attribute Utility Theory")</f>
        <v>Web-Based Decision Support System of Employee Admission Using Multi Attribute Utility Theory</v>
      </c>
      <c r="AA164" s="165" t="str">
        <f>IFERROR(__xludf.DUMMYFUNCTION("""COMPUTED_VALUE"""),"Published")</f>
        <v>Published</v>
      </c>
      <c r="AB164" s="165"/>
      <c r="AC164" s="166" t="str">
        <f>IFERROR(__xludf.DUMMYFUNCTION("""COMPUTED_VALUE"""),"https://doi.org/10.1109/IC3INA60834.2023.10285739")</f>
        <v>https://doi.org/10.1109/IC3INA60834.2023.10285739</v>
      </c>
    </row>
    <row r="165" ht="15.75" customHeight="1">
      <c r="A165" s="131">
        <v>160.0</v>
      </c>
      <c r="B165" s="58" t="str">
        <f t="shared" si="2"/>
        <v/>
      </c>
      <c r="C165" s="179"/>
      <c r="D165" s="47"/>
      <c r="E165" s="185"/>
      <c r="F165" s="176"/>
      <c r="G165" s="176"/>
      <c r="H165" s="35"/>
      <c r="I165" s="35"/>
      <c r="J165" s="35"/>
      <c r="K165" s="35"/>
      <c r="L165" s="35"/>
      <c r="M165" s="35"/>
      <c r="N165" s="35"/>
      <c r="O165" s="35"/>
      <c r="P165" s="35"/>
      <c r="Q165" s="35"/>
      <c r="R165" s="181"/>
      <c r="S165" s="35"/>
      <c r="T165" s="35"/>
      <c r="U165" s="37" t="s">
        <v>31</v>
      </c>
      <c r="V165" s="167"/>
      <c r="W165" s="168"/>
      <c r="X165" s="173"/>
      <c r="Z165" s="165" t="str">
        <f>IFERROR(__xludf.DUMMYFUNCTION("""COMPUTED_VALUE"""),"Recognizing Public Satisfaction Toward Kampus Mengajar Program with Naive Bayes")</f>
        <v>Recognizing Public Satisfaction Toward Kampus Mengajar Program with Naive Bayes</v>
      </c>
      <c r="AA165" s="165" t="str">
        <f>IFERROR(__xludf.DUMMYFUNCTION("""COMPUTED_VALUE"""),"Published")</f>
        <v>Published</v>
      </c>
      <c r="AB165" s="165"/>
      <c r="AC165" s="166" t="str">
        <f>IFERROR(__xludf.DUMMYFUNCTION("""COMPUTED_VALUE"""),"https://doi.org/10.1109/IC3INA60834.2023.10285769")</f>
        <v>https://doi.org/10.1109/IC3INA60834.2023.10285769</v>
      </c>
    </row>
    <row r="166" ht="15.75" customHeight="1">
      <c r="A166" s="131">
        <v>161.0</v>
      </c>
      <c r="B166" s="58" t="str">
        <f t="shared" si="2"/>
        <v/>
      </c>
      <c r="C166" s="179"/>
      <c r="D166" s="47"/>
      <c r="E166" s="185"/>
      <c r="F166" s="176"/>
      <c r="G166" s="176"/>
      <c r="H166" s="35"/>
      <c r="I166" s="35"/>
      <c r="J166" s="35"/>
      <c r="K166" s="35"/>
      <c r="L166" s="35"/>
      <c r="M166" s="35"/>
      <c r="N166" s="35"/>
      <c r="O166" s="35"/>
      <c r="P166" s="35"/>
      <c r="Q166" s="35"/>
      <c r="R166" s="181"/>
      <c r="S166" s="35"/>
      <c r="T166" s="35"/>
      <c r="U166" s="37" t="s">
        <v>31</v>
      </c>
      <c r="V166" s="167"/>
      <c r="W166" s="168"/>
      <c r="X166" s="173"/>
      <c r="Z166" s="165" t="str">
        <f>IFERROR(__xludf.DUMMYFUNCTION("""COMPUTED_VALUE"""),"Exploring Land Use Susceptibility to Geological Hazards in the Lembang Fault Zone, West Java, Indonesia: A Geospatial Perspective")</f>
        <v>Exploring Land Use Susceptibility to Geological Hazards in the Lembang Fault Zone, West Java, Indonesia: A Geospatial Perspective</v>
      </c>
      <c r="AA166" s="165" t="str">
        <f>IFERROR(__xludf.DUMMYFUNCTION("""COMPUTED_VALUE"""),"Published")</f>
        <v>Published</v>
      </c>
      <c r="AB166" s="165"/>
      <c r="AC166" s="166" t="str">
        <f>IFERROR(__xludf.DUMMYFUNCTION("""COMPUTED_VALUE"""),"https://doi.org/10.1109/IC3INA60834.2023.10285772")</f>
        <v>https://doi.org/10.1109/IC3INA60834.2023.10285772</v>
      </c>
    </row>
    <row r="167" ht="15.75" customHeight="1">
      <c r="A167" s="131">
        <v>162.0</v>
      </c>
      <c r="B167" s="58" t="str">
        <f t="shared" si="2"/>
        <v/>
      </c>
      <c r="C167" s="179"/>
      <c r="D167" s="47"/>
      <c r="E167" s="185"/>
      <c r="F167" s="176"/>
      <c r="G167" s="176"/>
      <c r="H167" s="35"/>
      <c r="I167" s="35"/>
      <c r="J167" s="35"/>
      <c r="K167" s="35"/>
      <c r="L167" s="35"/>
      <c r="M167" s="35"/>
      <c r="N167" s="35"/>
      <c r="O167" s="35"/>
      <c r="P167" s="35"/>
      <c r="Q167" s="35"/>
      <c r="R167" s="181"/>
      <c r="S167" s="35"/>
      <c r="T167" s="35"/>
      <c r="U167" s="37" t="s">
        <v>31</v>
      </c>
      <c r="V167" s="167"/>
      <c r="W167" s="168"/>
      <c r="X167" s="173"/>
      <c r="Z167" s="165" t="str">
        <f>IFERROR(__xludf.DUMMYFUNCTION("""COMPUTED_VALUE"""),"Digital Avatar Sub-Metaverse Modeling Using Terrestrial Photogrammetry Techniques")</f>
        <v>Digital Avatar Sub-Metaverse Modeling Using Terrestrial Photogrammetry Techniques</v>
      </c>
      <c r="AA167" s="165" t="str">
        <f>IFERROR(__xludf.DUMMYFUNCTION("""COMPUTED_VALUE"""),"Published")</f>
        <v>Published</v>
      </c>
      <c r="AB167" s="165"/>
      <c r="AC167" s="166" t="str">
        <f>IFERROR(__xludf.DUMMYFUNCTION("""COMPUTED_VALUE"""),"10.1109/IC3INA60834.2023.10285738")</f>
        <v>10.1109/IC3INA60834.2023.10285738</v>
      </c>
    </row>
    <row r="168" ht="15.75" customHeight="1">
      <c r="A168" s="131">
        <v>163.0</v>
      </c>
      <c r="B168" s="58" t="str">
        <f t="shared" si="2"/>
        <v/>
      </c>
      <c r="C168" s="179"/>
      <c r="D168" s="47"/>
      <c r="E168" s="185"/>
      <c r="F168" s="176"/>
      <c r="G168" s="176"/>
      <c r="H168" s="35"/>
      <c r="I168" s="35"/>
      <c r="J168" s="35"/>
      <c r="K168" s="35"/>
      <c r="L168" s="35"/>
      <c r="M168" s="35"/>
      <c r="N168" s="35"/>
      <c r="O168" s="35"/>
      <c r="P168" s="35"/>
      <c r="Q168" s="35"/>
      <c r="R168" s="181"/>
      <c r="S168" s="35"/>
      <c r="T168" s="35"/>
      <c r="U168" s="37" t="s">
        <v>31</v>
      </c>
      <c r="V168" s="167"/>
      <c r="W168" s="168"/>
      <c r="X168" s="173"/>
      <c r="Z168" s="165" t="str">
        <f>IFERROR(__xludf.DUMMYFUNCTION("""COMPUTED_VALUE"""),"Digital Technology-Enhanced ZISWAF Management: A Case Study of UPZ Masjid Jami Ash Shiyaam")</f>
        <v>Digital Technology-Enhanced ZISWAF Management: A Case Study of UPZ Masjid Jami Ash Shiyaam</v>
      </c>
      <c r="AA168" s="165" t="str">
        <f>IFERROR(__xludf.DUMMYFUNCTION("""COMPUTED_VALUE"""),"Published")</f>
        <v>Published</v>
      </c>
      <c r="AB168" s="165"/>
      <c r="AC168" s="166" t="str">
        <f>IFERROR(__xludf.DUMMYFUNCTION("""COMPUTED_VALUE"""),"https://doi.org/10.1109/IC3INA60834.2023.10285740")</f>
        <v>https://doi.org/10.1109/IC3INA60834.2023.10285740</v>
      </c>
    </row>
    <row r="169" ht="15.75" customHeight="1">
      <c r="A169" s="131">
        <v>164.0</v>
      </c>
      <c r="B169" s="58" t="str">
        <f t="shared" si="2"/>
        <v/>
      </c>
      <c r="C169" s="179"/>
      <c r="D169" s="47"/>
      <c r="E169" s="185"/>
      <c r="F169" s="176"/>
      <c r="G169" s="176"/>
      <c r="H169" s="35"/>
      <c r="I169" s="35"/>
      <c r="J169" s="35"/>
      <c r="K169" s="35"/>
      <c r="L169" s="35"/>
      <c r="M169" s="35"/>
      <c r="N169" s="35"/>
      <c r="O169" s="35"/>
      <c r="P169" s="35"/>
      <c r="Q169" s="35"/>
      <c r="R169" s="181"/>
      <c r="S169" s="35"/>
      <c r="T169" s="35"/>
      <c r="U169" s="37" t="s">
        <v>31</v>
      </c>
      <c r="V169" s="167"/>
      <c r="W169" s="168"/>
      <c r="X169" s="173"/>
      <c r="Z169" s="165" t="str">
        <f>IFERROR(__xludf.DUMMYFUNCTION("""COMPUTED_VALUE"""),"Improving the Quality of 3D Orthomosaic Images by Increasing UAV Specifications and Data Processing")</f>
        <v>Improving the Quality of 3D Orthomosaic Images by Increasing UAV Specifications and Data Processing</v>
      </c>
      <c r="AA169" s="165" t="str">
        <f>IFERROR(__xludf.DUMMYFUNCTION("""COMPUTED_VALUE"""),"Published")</f>
        <v>Published</v>
      </c>
      <c r="AB169" s="165"/>
      <c r="AC169" s="165" t="str">
        <f>IFERROR(__xludf.DUMMYFUNCTION("""COMPUTED_VALUE"""),"10.1109/IC3INA60834.2023.10285802")</f>
        <v>10.1109/IC3INA60834.2023.10285802</v>
      </c>
    </row>
    <row r="170" ht="15.75" customHeight="1">
      <c r="A170" s="131">
        <v>165.0</v>
      </c>
      <c r="B170" s="58" t="str">
        <f t="shared" si="2"/>
        <v/>
      </c>
      <c r="C170" s="179"/>
      <c r="D170" s="47"/>
      <c r="E170" s="185"/>
      <c r="F170" s="176"/>
      <c r="G170" s="176"/>
      <c r="H170" s="35"/>
      <c r="I170" s="35"/>
      <c r="J170" s="35"/>
      <c r="K170" s="35"/>
      <c r="L170" s="35"/>
      <c r="M170" s="35"/>
      <c r="N170" s="35"/>
      <c r="O170" s="35"/>
      <c r="P170" s="35"/>
      <c r="Q170" s="35"/>
      <c r="R170" s="181"/>
      <c r="S170" s="35"/>
      <c r="T170" s="35"/>
      <c r="U170" s="37" t="s">
        <v>31</v>
      </c>
      <c r="V170" s="167"/>
      <c r="W170" s="168"/>
      <c r="X170" s="173"/>
      <c r="Z170" s="165" t="str">
        <f>IFERROR(__xludf.DUMMYFUNCTION("""COMPUTED_VALUE"""),"Aesthetics 3D geovisualization for flood disaster
 based on the XYZ coordinate")</f>
        <v>Aesthetics 3D geovisualization for flood disaster
 based on the XYZ coordinate</v>
      </c>
      <c r="AA170" s="165" t="str">
        <f>IFERROR(__xludf.DUMMYFUNCTION("""COMPUTED_VALUE"""),"Published")</f>
        <v>Published</v>
      </c>
      <c r="AB170" s="165"/>
      <c r="AC170" s="165" t="str">
        <f>IFERROR(__xludf.DUMMYFUNCTION("""COMPUTED_VALUE"""),"10.22201/icat.24486736e.2023.21.4.1706")</f>
        <v>10.22201/icat.24486736e.2023.21.4.1706</v>
      </c>
    </row>
    <row r="171" ht="15.75" customHeight="1">
      <c r="A171" s="131">
        <v>166.0</v>
      </c>
      <c r="B171" s="58" t="str">
        <f t="shared" si="2"/>
        <v/>
      </c>
      <c r="C171" s="179"/>
      <c r="D171" s="47"/>
      <c r="E171" s="185"/>
      <c r="F171" s="176"/>
      <c r="G171" s="176"/>
      <c r="H171" s="35"/>
      <c r="I171" s="35"/>
      <c r="J171" s="35"/>
      <c r="K171" s="35"/>
      <c r="L171" s="35"/>
      <c r="M171" s="35"/>
      <c r="N171" s="35"/>
      <c r="O171" s="35"/>
      <c r="P171" s="35"/>
      <c r="Q171" s="35"/>
      <c r="R171" s="181"/>
      <c r="S171" s="35"/>
      <c r="T171" s="35"/>
      <c r="U171" s="37" t="s">
        <v>31</v>
      </c>
      <c r="V171" s="167"/>
      <c r="W171" s="168"/>
      <c r="X171" s="173"/>
      <c r="Z171" s="165" t="str">
        <f>IFERROR(__xludf.DUMMYFUNCTION("""COMPUTED_VALUE"""),"Comparison and Selection of Open Source E-Learning Systems Based on Users’ Emotional Preferences Regarding Its Interface")</f>
        <v>Comparison and Selection of Open Source E-Learning Systems Based on Users’ Emotional Preferences Regarding Its Interface</v>
      </c>
      <c r="AA171" s="165" t="str">
        <f>IFERROR(__xludf.DUMMYFUNCTION("""COMPUTED_VALUE"""),"Published")</f>
        <v>Published</v>
      </c>
      <c r="AB171" s="165"/>
      <c r="AC171" s="165" t="str">
        <f>IFERROR(__xludf.DUMMYFUNCTION("""COMPUTED_VALUE"""),"10.55463/issn.1674-2974-50.6.4")</f>
        <v>10.55463/issn.1674-2974-50.6.4</v>
      </c>
    </row>
    <row r="172" ht="15.75" customHeight="1">
      <c r="A172" s="131">
        <v>167.0</v>
      </c>
      <c r="B172" s="58" t="str">
        <f t="shared" si="2"/>
        <v/>
      </c>
      <c r="C172" s="179"/>
      <c r="D172" s="47"/>
      <c r="E172" s="185"/>
      <c r="F172" s="176"/>
      <c r="G172" s="176"/>
      <c r="H172" s="35"/>
      <c r="I172" s="35"/>
      <c r="J172" s="35"/>
      <c r="K172" s="35"/>
      <c r="L172" s="35"/>
      <c r="M172" s="35"/>
      <c r="N172" s="35"/>
      <c r="O172" s="35"/>
      <c r="P172" s="35"/>
      <c r="Q172" s="35"/>
      <c r="R172" s="181"/>
      <c r="S172" s="35"/>
      <c r="T172" s="35"/>
      <c r="U172" s="37" t="s">
        <v>31</v>
      </c>
      <c r="V172" s="167"/>
      <c r="W172" s="168"/>
      <c r="X172" s="173"/>
      <c r="Z172" s="165" t="str">
        <f>IFERROR(__xludf.DUMMYFUNCTION("""COMPUTED_VALUE"""),"A Systematic Literature Review on Digital Transformation in Higher Education: Revealing Key Success Factors")</f>
        <v>A Systematic Literature Review on Digital Transformation in Higher Education: Revealing Key Success Factors</v>
      </c>
      <c r="AA172" s="165" t="str">
        <f>IFERROR(__xludf.DUMMYFUNCTION("""COMPUTED_VALUE"""),"Published")</f>
        <v>Published</v>
      </c>
      <c r="AB172" s="165"/>
      <c r="AC172" s="166" t="str">
        <f>IFERROR(__xludf.DUMMYFUNCTION("""COMPUTED_VALUE"""),"https://doi.org/10.3991/ijet.v18i14.40201")</f>
        <v>https://doi.org/10.3991/ijet.v18i14.40201</v>
      </c>
    </row>
    <row r="173" ht="15.75" customHeight="1">
      <c r="A173" s="131">
        <v>168.0</v>
      </c>
      <c r="B173" s="58" t="str">
        <f t="shared" si="2"/>
        <v/>
      </c>
      <c r="C173" s="179"/>
      <c r="D173" s="47"/>
      <c r="E173" s="185"/>
      <c r="F173" s="176"/>
      <c r="G173" s="176"/>
      <c r="H173" s="35"/>
      <c r="I173" s="35"/>
      <c r="J173" s="35"/>
      <c r="K173" s="35"/>
      <c r="L173" s="35"/>
      <c r="M173" s="35"/>
      <c r="N173" s="35"/>
      <c r="O173" s="35"/>
      <c r="P173" s="35"/>
      <c r="Q173" s="35"/>
      <c r="R173" s="181"/>
      <c r="S173" s="35"/>
      <c r="T173" s="35"/>
      <c r="U173" s="37" t="s">
        <v>31</v>
      </c>
      <c r="V173" s="167"/>
      <c r="W173" s="168"/>
      <c r="X173" s="173"/>
      <c r="Z173" s="165" t="str">
        <f>IFERROR(__xludf.DUMMYFUNCTION("""COMPUTED_VALUE"""),"OOV Handling Using Partial Lemma-Based Language Model in LF-MMI Based ASR for Bahasa Indonesia")</f>
        <v>OOV Handling Using Partial Lemma-Based Language Model in LF-MMI Based ASR for Bahasa Indonesia</v>
      </c>
      <c r="AA173" s="165" t="str">
        <f>IFERROR(__xludf.DUMMYFUNCTION("""COMPUTED_VALUE"""),"Published")</f>
        <v>Published</v>
      </c>
      <c r="AB173" s="165"/>
      <c r="AC173" s="166" t="str">
        <f>IFERROR(__xludf.DUMMYFUNCTION("""COMPUTED_VALUE"""),"https://doi.org/10.1109/CENIM56801.2022.10037479")</f>
        <v>https://doi.org/10.1109/CENIM56801.2022.10037479</v>
      </c>
    </row>
    <row r="174" ht="15.75" customHeight="1">
      <c r="A174" s="131">
        <v>169.0</v>
      </c>
      <c r="B174" s="58" t="str">
        <f t="shared" si="2"/>
        <v/>
      </c>
      <c r="C174" s="179"/>
      <c r="D174" s="47"/>
      <c r="E174" s="185"/>
      <c r="F174" s="176"/>
      <c r="G174" s="176"/>
      <c r="H174" s="35"/>
      <c r="I174" s="35"/>
      <c r="J174" s="35"/>
      <c r="K174" s="35"/>
      <c r="L174" s="35"/>
      <c r="M174" s="35"/>
      <c r="N174" s="35"/>
      <c r="O174" s="35"/>
      <c r="P174" s="35"/>
      <c r="Q174" s="35"/>
      <c r="R174" s="181"/>
      <c r="S174" s="35"/>
      <c r="T174" s="35"/>
      <c r="U174" s="37" t="s">
        <v>31</v>
      </c>
      <c r="V174" s="167"/>
      <c r="W174" s="168"/>
      <c r="X174" s="173"/>
      <c r="Z174" s="165" t="str">
        <f>IFERROR(__xludf.DUMMYFUNCTION("""COMPUTED_VALUE"""),"Performance Comparison of Topic Modeling Algorithms on Indonesian Short Texts")</f>
        <v>Performance Comparison of Topic Modeling Algorithms on Indonesian Short Texts</v>
      </c>
      <c r="AA174" s="165" t="str">
        <f>IFERROR(__xludf.DUMMYFUNCTION("""COMPUTED_VALUE"""),"Published")</f>
        <v>Published</v>
      </c>
      <c r="AB174" s="165"/>
      <c r="AC174" s="166" t="str">
        <f>IFERROR(__xludf.DUMMYFUNCTION("""COMPUTED_VALUE"""),"https://dl.acm.org/doi/10.1145/3575882.3575905")</f>
        <v>https://dl.acm.org/doi/10.1145/3575882.3575905</v>
      </c>
    </row>
    <row r="175" ht="15.75" customHeight="1">
      <c r="A175" s="131">
        <v>170.0</v>
      </c>
      <c r="B175" s="58" t="str">
        <f t="shared" si="2"/>
        <v/>
      </c>
      <c r="C175" s="179"/>
      <c r="D175" s="47"/>
      <c r="E175" s="185"/>
      <c r="F175" s="176"/>
      <c r="G175" s="176"/>
      <c r="H175" s="35"/>
      <c r="I175" s="35"/>
      <c r="J175" s="35"/>
      <c r="K175" s="35"/>
      <c r="L175" s="35"/>
      <c r="M175" s="35"/>
      <c r="N175" s="35"/>
      <c r="O175" s="35"/>
      <c r="P175" s="35"/>
      <c r="Q175" s="35"/>
      <c r="R175" s="181"/>
      <c r="S175" s="35"/>
      <c r="T175" s="35"/>
      <c r="U175" s="37" t="s">
        <v>31</v>
      </c>
      <c r="V175" s="167"/>
      <c r="W175" s="168"/>
      <c r="X175" s="173"/>
      <c r="Z175" s="165" t="str">
        <f>IFERROR(__xludf.DUMMYFUNCTION("""COMPUTED_VALUE"""),"Improving Aspect-Based Sentiment Analysis for Hotel Reviews with Latent Dirichlet Allocation and Machine Learning Algorithms")</f>
        <v>Improving Aspect-Based Sentiment Analysis for Hotel Reviews with Latent Dirichlet Allocation and Machine Learning Algorithms</v>
      </c>
      <c r="AA175" s="165" t="str">
        <f>IFERROR(__xludf.DUMMYFUNCTION("""COMPUTED_VALUE"""),"Published")</f>
        <v>Published</v>
      </c>
      <c r="AB175" s="165"/>
      <c r="AC175" s="166" t="str">
        <f>IFERROR(__xludf.DUMMYFUNCTION("""COMPUTED_VALUE"""),"https://doi.org/10.26594/register.v9i2.3441")</f>
        <v>https://doi.org/10.26594/register.v9i2.3441</v>
      </c>
    </row>
    <row r="176" ht="15.75" customHeight="1">
      <c r="A176" s="131">
        <v>171.0</v>
      </c>
      <c r="B176" s="58" t="str">
        <f t="shared" si="2"/>
        <v/>
      </c>
      <c r="C176" s="179"/>
      <c r="D176" s="47"/>
      <c r="E176" s="185"/>
      <c r="F176" s="176"/>
      <c r="G176" s="176"/>
      <c r="H176" s="35"/>
      <c r="I176" s="35"/>
      <c r="J176" s="35"/>
      <c r="K176" s="35"/>
      <c r="L176" s="35"/>
      <c r="M176" s="35"/>
      <c r="N176" s="35"/>
      <c r="O176" s="35"/>
      <c r="P176" s="35"/>
      <c r="Q176" s="35"/>
      <c r="R176" s="181"/>
      <c r="S176" s="35"/>
      <c r="T176" s="35"/>
      <c r="U176" s="37" t="s">
        <v>31</v>
      </c>
      <c r="V176" s="167"/>
      <c r="W176" s="168"/>
      <c r="X176" s="173"/>
      <c r="Z176" s="165" t="str">
        <f>IFERROR(__xludf.DUMMYFUNCTION("""COMPUTED_VALUE"""),"Sentiment Analysis of Indonesian New Capitol (IKN) Tweets by Stacked Generalization of Deep Learning")</f>
        <v>Sentiment Analysis of Indonesian New Capitol (IKN) Tweets by Stacked Generalization of Deep Learning</v>
      </c>
      <c r="AA176" s="165" t="str">
        <f>IFERROR(__xludf.DUMMYFUNCTION("""COMPUTED_VALUE"""),"Published")</f>
        <v>Published</v>
      </c>
      <c r="AB176" s="165"/>
      <c r="AC176" s="166" t="str">
        <f>IFERROR(__xludf.DUMMYFUNCTION("""COMPUTED_VALUE"""),"https://doi.org/10.1145/3575882.3575922")</f>
        <v>https://doi.org/10.1145/3575882.3575922</v>
      </c>
    </row>
    <row r="177" ht="15.75" customHeight="1">
      <c r="A177" s="131">
        <v>172.0</v>
      </c>
      <c r="B177" s="58" t="str">
        <f t="shared" si="2"/>
        <v/>
      </c>
      <c r="C177" s="179"/>
      <c r="D177" s="47"/>
      <c r="E177" s="185"/>
      <c r="F177" s="176"/>
      <c r="G177" s="176"/>
      <c r="H177" s="35"/>
      <c r="I177" s="35"/>
      <c r="J177" s="35"/>
      <c r="K177" s="35"/>
      <c r="L177" s="35"/>
      <c r="M177" s="35"/>
      <c r="N177" s="35"/>
      <c r="O177" s="35"/>
      <c r="P177" s="35"/>
      <c r="Q177" s="35"/>
      <c r="R177" s="181"/>
      <c r="S177" s="35"/>
      <c r="T177" s="35"/>
      <c r="U177" s="37" t="s">
        <v>31</v>
      </c>
      <c r="V177" s="167"/>
      <c r="W177" s="168"/>
      <c r="X177" s="173"/>
      <c r="Z177" s="165" t="str">
        <f>IFERROR(__xludf.DUMMYFUNCTION("""COMPUTED_VALUE"""),"Developing Semantic Annotation Representation of Social Media Sentiments and Metadata as Resource Description Framework")</f>
        <v>Developing Semantic Annotation Representation of Social Media Sentiments and Metadata as Resource Description Framework</v>
      </c>
      <c r="AA177" s="165" t="str">
        <f>IFERROR(__xludf.DUMMYFUNCTION("""COMPUTED_VALUE"""),"Published")</f>
        <v>Published</v>
      </c>
      <c r="AB177" s="165"/>
      <c r="AC177" s="166" t="str">
        <f>IFERROR(__xludf.DUMMYFUNCTION("""COMPUTED_VALUE"""),"https://doi.org/10.1145/3575882.3575926")</f>
        <v>https://doi.org/10.1145/3575882.3575926</v>
      </c>
    </row>
    <row r="178" ht="15.75" customHeight="1">
      <c r="A178" s="131">
        <v>173.0</v>
      </c>
      <c r="B178" s="58" t="str">
        <f t="shared" si="2"/>
        <v/>
      </c>
      <c r="C178" s="179"/>
      <c r="D178" s="47"/>
      <c r="E178" s="185"/>
      <c r="F178" s="176"/>
      <c r="G178" s="176"/>
      <c r="H178" s="35"/>
      <c r="I178" s="35"/>
      <c r="J178" s="35"/>
      <c r="K178" s="35"/>
      <c r="L178" s="35"/>
      <c r="M178" s="35"/>
      <c r="N178" s="35"/>
      <c r="O178" s="35"/>
      <c r="P178" s="35"/>
      <c r="Q178" s="35"/>
      <c r="R178" s="181"/>
      <c r="S178" s="35"/>
      <c r="T178" s="35"/>
      <c r="U178" s="37" t="s">
        <v>31</v>
      </c>
      <c r="V178" s="167"/>
      <c r="W178" s="168"/>
      <c r="X178" s="173"/>
      <c r="Z178" s="165" t="str">
        <f>IFERROR(__xludf.DUMMYFUNCTION("""COMPUTED_VALUE"""),"Developing Indonesian Medical Corpora Using the Latent Dirichlet Allocation Method and Filtering Out Non-medical Terms and Non-noun Words")</f>
        <v>Developing Indonesian Medical Corpora Using the Latent Dirichlet Allocation Method and Filtering Out Non-medical Terms and Non-noun Words</v>
      </c>
      <c r="AA178" s="165" t="str">
        <f>IFERROR(__xludf.DUMMYFUNCTION("""COMPUTED_VALUE"""),"Published")</f>
        <v>Published</v>
      </c>
      <c r="AB178" s="165"/>
      <c r="AC178" s="166" t="str">
        <f>IFERROR(__xludf.DUMMYFUNCTION("""COMPUTED_VALUE"""),"https://doi.org/10.1109/COSITE60233.2023.10250069")</f>
        <v>https://doi.org/10.1109/COSITE60233.2023.10250069</v>
      </c>
    </row>
    <row r="179" ht="15.75" customHeight="1">
      <c r="A179" s="131">
        <v>174.0</v>
      </c>
      <c r="B179" s="58" t="str">
        <f t="shared" si="2"/>
        <v/>
      </c>
      <c r="C179" s="179"/>
      <c r="D179" s="47"/>
      <c r="E179" s="185"/>
      <c r="F179" s="176"/>
      <c r="G179" s="176"/>
      <c r="H179" s="35"/>
      <c r="I179" s="35"/>
      <c r="J179" s="35"/>
      <c r="K179" s="35"/>
      <c r="L179" s="35"/>
      <c r="M179" s="35"/>
      <c r="N179" s="35"/>
      <c r="O179" s="35"/>
      <c r="P179" s="35"/>
      <c r="Q179" s="35"/>
      <c r="R179" s="181"/>
      <c r="S179" s="35"/>
      <c r="T179" s="35"/>
      <c r="U179" s="37" t="s">
        <v>31</v>
      </c>
      <c r="V179" s="167"/>
      <c r="W179" s="168"/>
      <c r="X179" s="173"/>
      <c r="Z179" s="165" t="str">
        <f>IFERROR(__xludf.DUMMYFUNCTION("""COMPUTED_VALUE"""),"Performance Face Image Quality Assessment under the Difference of Illumination Directions in Face Recognition System using FaceQnet, SDD-FIQA, and SER-FIQ")</f>
        <v>Performance Face Image Quality Assessment under the Difference of Illumination Directions in Face Recognition System using FaceQnet, SDD-FIQA, and SER-FIQ</v>
      </c>
      <c r="AA179" s="165" t="str">
        <f>IFERROR(__xludf.DUMMYFUNCTION("""COMPUTED_VALUE"""),"Published")</f>
        <v>Published</v>
      </c>
      <c r="AB179" s="165"/>
      <c r="AC179" s="166" t="str">
        <f>IFERROR(__xludf.DUMMYFUNCTION("""COMPUTED_VALUE"""),"https://doi.org/10.1145/3575882.3575924")</f>
        <v>https://doi.org/10.1145/3575882.3575924</v>
      </c>
    </row>
    <row r="180" ht="15.75" customHeight="1">
      <c r="A180" s="131">
        <v>175.0</v>
      </c>
      <c r="B180" s="58" t="str">
        <f t="shared" si="2"/>
        <v/>
      </c>
      <c r="C180" s="179"/>
      <c r="D180" s="47"/>
      <c r="E180" s="185"/>
      <c r="F180" s="176"/>
      <c r="G180" s="176"/>
      <c r="H180" s="35"/>
      <c r="I180" s="35"/>
      <c r="J180" s="35"/>
      <c r="K180" s="35"/>
      <c r="L180" s="35"/>
      <c r="M180" s="35"/>
      <c r="N180" s="35"/>
      <c r="O180" s="35"/>
      <c r="P180" s="35"/>
      <c r="Q180" s="35"/>
      <c r="R180" s="181"/>
      <c r="S180" s="35"/>
      <c r="T180" s="35"/>
      <c r="U180" s="37" t="s">
        <v>31</v>
      </c>
      <c r="V180" s="167"/>
      <c r="W180" s="168"/>
      <c r="X180" s="173"/>
      <c r="Z180" s="165" t="str">
        <f>IFERROR(__xludf.DUMMYFUNCTION("""COMPUTED_VALUE"""),"Organizational Culture Analysis in the Implementation of Knowledge Management in Government Research Agency")</f>
        <v>Organizational Culture Analysis in the Implementation of Knowledge Management in Government Research Agency</v>
      </c>
      <c r="AA180" s="165" t="str">
        <f>IFERROR(__xludf.DUMMYFUNCTION("""COMPUTED_VALUE"""),"Published")</f>
        <v>Published</v>
      </c>
      <c r="AB180" s="165"/>
      <c r="AC180" s="166" t="str">
        <f>IFERROR(__xludf.DUMMYFUNCTION("""COMPUTED_VALUE"""),"https://doi.org/10.1109/CyMaEn57228.2023.10051044")</f>
        <v>https://doi.org/10.1109/CyMaEn57228.2023.10051044</v>
      </c>
    </row>
    <row r="181" ht="15.75" customHeight="1">
      <c r="A181" s="131">
        <v>176.0</v>
      </c>
      <c r="B181" s="58" t="str">
        <f t="shared" si="2"/>
        <v/>
      </c>
      <c r="C181" s="179"/>
      <c r="D181" s="47"/>
      <c r="E181" s="185"/>
      <c r="F181" s="176"/>
      <c r="G181" s="176"/>
      <c r="H181" s="35"/>
      <c r="I181" s="35"/>
      <c r="J181" s="35"/>
      <c r="K181" s="35"/>
      <c r="L181" s="35"/>
      <c r="M181" s="35"/>
      <c r="N181" s="35"/>
      <c r="O181" s="35"/>
      <c r="P181" s="35"/>
      <c r="Q181" s="35"/>
      <c r="R181" s="181"/>
      <c r="S181" s="35"/>
      <c r="T181" s="35"/>
      <c r="U181" s="37" t="s">
        <v>31</v>
      </c>
      <c r="V181" s="167"/>
      <c r="W181" s="168"/>
      <c r="X181" s="173"/>
      <c r="Z181" s="165" t="str">
        <f>IFERROR(__xludf.DUMMYFUNCTION("""COMPUTED_VALUE"""),"Comparison of TDNN and Factorized TDNN Approaches for Indonesian Speech Recognition")</f>
        <v>Comparison of TDNN and Factorized TDNN Approaches for Indonesian Speech Recognition</v>
      </c>
      <c r="AA181" s="165" t="str">
        <f>IFERROR(__xludf.DUMMYFUNCTION("""COMPUTED_VALUE"""),"Published")</f>
        <v>Published</v>
      </c>
      <c r="AB181" s="165"/>
      <c r="AC181" s="166" t="str">
        <f>IFERROR(__xludf.DUMMYFUNCTION("""COMPUTED_VALUE"""),"https://doi.org/10.1109/ISITIA59021.2023.10221093")</f>
        <v>https://doi.org/10.1109/ISITIA59021.2023.10221093</v>
      </c>
    </row>
    <row r="182" ht="15.75" customHeight="1">
      <c r="A182" s="131">
        <v>177.0</v>
      </c>
      <c r="B182" s="58" t="str">
        <f t="shared" si="2"/>
        <v/>
      </c>
      <c r="C182" s="179"/>
      <c r="D182" s="47"/>
      <c r="E182" s="185"/>
      <c r="F182" s="176"/>
      <c r="G182" s="176"/>
      <c r="H182" s="35"/>
      <c r="I182" s="35"/>
      <c r="J182" s="35"/>
      <c r="K182" s="35"/>
      <c r="L182" s="35"/>
      <c r="M182" s="35"/>
      <c r="N182" s="35"/>
      <c r="O182" s="35"/>
      <c r="P182" s="35"/>
      <c r="Q182" s="35"/>
      <c r="R182" s="181"/>
      <c r="S182" s="35"/>
      <c r="T182" s="35"/>
      <c r="U182" s="37" t="s">
        <v>31</v>
      </c>
      <c r="V182" s="167"/>
      <c r="W182" s="168"/>
      <c r="X182" s="173"/>
      <c r="Z182" s="165" t="str">
        <f>IFERROR(__xludf.DUMMYFUNCTION("""COMPUTED_VALUE"""),"Top Layer Selection in Pretrained Models for Sentiment Analysis on Biodiversity Tweets in Bahasa Indonesia")</f>
        <v>Top Layer Selection in Pretrained Models for Sentiment Analysis on Biodiversity Tweets in Bahasa Indonesia</v>
      </c>
      <c r="AA182" s="165" t="str">
        <f>IFERROR(__xludf.DUMMYFUNCTION("""COMPUTED_VALUE"""),"Published")</f>
        <v>Published</v>
      </c>
      <c r="AB182" s="165"/>
      <c r="AC182" s="166" t="str">
        <f>IFERROR(__xludf.DUMMYFUNCTION("""COMPUTED_VALUE"""),"https://doi.org/10.1109/IC3INA60834.2023.10285786")</f>
        <v>https://doi.org/10.1109/IC3INA60834.2023.10285786</v>
      </c>
    </row>
    <row r="183" ht="15.75" customHeight="1">
      <c r="A183" s="131">
        <v>178.0</v>
      </c>
      <c r="B183" s="58" t="str">
        <f t="shared" si="2"/>
        <v/>
      </c>
      <c r="C183" s="179"/>
      <c r="D183" s="47"/>
      <c r="E183" s="185"/>
      <c r="F183" s="176"/>
      <c r="G183" s="176"/>
      <c r="H183" s="35"/>
      <c r="I183" s="35"/>
      <c r="J183" s="35"/>
      <c r="K183" s="35"/>
      <c r="L183" s="35"/>
      <c r="M183" s="35"/>
      <c r="N183" s="35"/>
      <c r="O183" s="35"/>
      <c r="P183" s="35"/>
      <c r="Q183" s="35"/>
      <c r="R183" s="181"/>
      <c r="S183" s="35"/>
      <c r="T183" s="35"/>
      <c r="U183" s="37" t="s">
        <v>31</v>
      </c>
      <c r="V183" s="167"/>
      <c r="W183" s="168"/>
      <c r="X183" s="173"/>
      <c r="Z183" s="165" t="str">
        <f>IFERROR(__xludf.DUMMYFUNCTION("""COMPUTED_VALUE"""),"A Proven Sentiment Annotation Guideline for Indonesian Twitter Data")</f>
        <v>A Proven Sentiment Annotation Guideline for Indonesian Twitter Data</v>
      </c>
      <c r="AA183" s="165" t="str">
        <f>IFERROR(__xludf.DUMMYFUNCTION("""COMPUTED_VALUE"""),"Published")</f>
        <v>Published</v>
      </c>
      <c r="AB183" s="165"/>
      <c r="AC183" s="166" t="str">
        <f>IFERROR(__xludf.DUMMYFUNCTION("""COMPUTED_VALUE"""),"https://doi.org/10.1109/IC3INA60834.2023.10285807")</f>
        <v>https://doi.org/10.1109/IC3INA60834.2023.10285807</v>
      </c>
    </row>
    <row r="184" ht="15.75" customHeight="1">
      <c r="A184" s="131">
        <v>179.0</v>
      </c>
      <c r="B184" s="58" t="str">
        <f t="shared" si="2"/>
        <v/>
      </c>
      <c r="C184" s="179"/>
      <c r="D184" s="47"/>
      <c r="E184" s="185"/>
      <c r="F184" s="176"/>
      <c r="G184" s="176"/>
      <c r="H184" s="35"/>
      <c r="I184" s="35"/>
      <c r="J184" s="35"/>
      <c r="K184" s="35"/>
      <c r="L184" s="35"/>
      <c r="M184" s="35"/>
      <c r="N184" s="35"/>
      <c r="O184" s="35"/>
      <c r="P184" s="35"/>
      <c r="Q184" s="35"/>
      <c r="R184" s="181"/>
      <c r="S184" s="35"/>
      <c r="T184" s="35"/>
      <c r="U184" s="37" t="s">
        <v>31</v>
      </c>
      <c r="V184" s="167"/>
      <c r="W184" s="168"/>
      <c r="X184" s="173"/>
      <c r="Z184" s="165" t="str">
        <f>IFERROR(__xludf.DUMMYFUNCTION("""COMPUTED_VALUE"""),"Sentiment Analysis with Supervised Topic Modelling on Twitter Data Related to Indonesian Election 2024")</f>
        <v>Sentiment Analysis with Supervised Topic Modelling on Twitter Data Related to Indonesian Election 2024</v>
      </c>
      <c r="AA184" s="165" t="str">
        <f>IFERROR(__xludf.DUMMYFUNCTION("""COMPUTED_VALUE"""),"Published")</f>
        <v>Published</v>
      </c>
      <c r="AB184" s="165"/>
      <c r="AC184" s="166" t="str">
        <f>IFERROR(__xludf.DUMMYFUNCTION("""COMPUTED_VALUE"""),"https://doi.org/10.1109/IC3INA60834.2023.10285800")</f>
        <v>https://doi.org/10.1109/IC3INA60834.2023.10285800</v>
      </c>
    </row>
    <row r="185" ht="15.75" customHeight="1">
      <c r="A185" s="131">
        <v>180.0</v>
      </c>
      <c r="B185" s="58" t="str">
        <f t="shared" si="2"/>
        <v/>
      </c>
      <c r="C185" s="179"/>
      <c r="D185" s="47"/>
      <c r="E185" s="185"/>
      <c r="F185" s="176"/>
      <c r="G185" s="176"/>
      <c r="H185" s="35"/>
      <c r="I185" s="35"/>
      <c r="J185" s="35"/>
      <c r="K185" s="35"/>
      <c r="L185" s="35"/>
      <c r="M185" s="35"/>
      <c r="N185" s="35"/>
      <c r="O185" s="35"/>
      <c r="P185" s="35"/>
      <c r="Q185" s="35"/>
      <c r="R185" s="181"/>
      <c r="S185" s="35"/>
      <c r="T185" s="35"/>
      <c r="U185" s="37" t="s">
        <v>31</v>
      </c>
      <c r="V185" s="167"/>
      <c r="W185" s="168"/>
      <c r="X185" s="173"/>
      <c r="Z185" s="165" t="str">
        <f>IFERROR(__xludf.DUMMYFUNCTION("""COMPUTED_VALUE"""),"Improvement of DART Algorithm Teletsunami Detection Response through Lengthening the Prediction Time")</f>
        <v>Improvement of DART Algorithm Teletsunami Detection Response through Lengthening the Prediction Time</v>
      </c>
      <c r="AA185" s="165" t="str">
        <f>IFERROR(__xludf.DUMMYFUNCTION("""COMPUTED_VALUE"""),"Published")</f>
        <v>Published</v>
      </c>
      <c r="AB185" s="165"/>
      <c r="AC185" s="166" t="str">
        <f>IFERROR(__xludf.DUMMYFUNCTION("""COMPUTED_VALUE"""),"https://doi.org/10.1109/IC3INA60834.2023.10285766")</f>
        <v>https://doi.org/10.1109/IC3INA60834.2023.10285766</v>
      </c>
    </row>
    <row r="186" ht="15.75" customHeight="1">
      <c r="A186" s="131">
        <v>181.0</v>
      </c>
      <c r="B186" s="58" t="str">
        <f t="shared" si="2"/>
        <v/>
      </c>
      <c r="C186" s="179"/>
      <c r="D186" s="47"/>
      <c r="E186" s="185"/>
      <c r="F186" s="176"/>
      <c r="G186" s="176"/>
      <c r="H186" s="35"/>
      <c r="I186" s="35"/>
      <c r="J186" s="35"/>
      <c r="K186" s="35"/>
      <c r="L186" s="35"/>
      <c r="M186" s="35"/>
      <c r="N186" s="35"/>
      <c r="O186" s="35"/>
      <c r="P186" s="35"/>
      <c r="Q186" s="35"/>
      <c r="R186" s="181"/>
      <c r="S186" s="35"/>
      <c r="T186" s="35"/>
      <c r="U186" s="37" t="s">
        <v>31</v>
      </c>
      <c r="V186" s="167"/>
      <c r="W186" s="168"/>
      <c r="X186" s="173"/>
      <c r="Z186" s="165" t="str">
        <f>IFERROR(__xludf.DUMMYFUNCTION("""COMPUTED_VALUE"""),"Enhancing Sentiment Analysis Models through Multi-Technique Data Augmentation: A Study with IndoBERT")</f>
        <v>Enhancing Sentiment Analysis Models through Multi-Technique Data Augmentation: A Study with IndoBERT</v>
      </c>
      <c r="AA186" s="165" t="str">
        <f>IFERROR(__xludf.DUMMYFUNCTION("""COMPUTED_VALUE"""),"Published")</f>
        <v>Published</v>
      </c>
      <c r="AB186" s="165"/>
      <c r="AC186" s="166" t="str">
        <f>IFERROR(__xludf.DUMMYFUNCTION("""COMPUTED_VALUE"""),"https://doi.org/10.1109/IC3INA60834.2023.10285775")</f>
        <v>https://doi.org/10.1109/IC3INA60834.2023.10285775</v>
      </c>
    </row>
    <row r="187" ht="15.75" customHeight="1">
      <c r="A187" s="131">
        <v>182.0</v>
      </c>
      <c r="B187" s="58" t="str">
        <f t="shared" si="2"/>
        <v/>
      </c>
      <c r="C187" s="179"/>
      <c r="D187" s="47"/>
      <c r="E187" s="185"/>
      <c r="F187" s="176"/>
      <c r="G187" s="176"/>
      <c r="H187" s="35"/>
      <c r="I187" s="35"/>
      <c r="J187" s="35"/>
      <c r="K187" s="35"/>
      <c r="L187" s="35"/>
      <c r="M187" s="35"/>
      <c r="N187" s="35"/>
      <c r="O187" s="35"/>
      <c r="P187" s="35"/>
      <c r="Q187" s="35"/>
      <c r="R187" s="181"/>
      <c r="S187" s="35"/>
      <c r="T187" s="35"/>
      <c r="U187" s="37" t="s">
        <v>31</v>
      </c>
      <c r="V187" s="167"/>
      <c r="W187" s="168"/>
      <c r="X187" s="173"/>
      <c r="Z187" s="165" t="str">
        <f>IFERROR(__xludf.DUMMYFUNCTION("""COMPUTED_VALUE"""),"Next Sentence Prediction: The Impact of Preprocessing Techniques in Deep Learning")</f>
        <v>Next Sentence Prediction: The Impact of Preprocessing Techniques in Deep Learning</v>
      </c>
      <c r="AA187" s="165" t="str">
        <f>IFERROR(__xludf.DUMMYFUNCTION("""COMPUTED_VALUE"""),"Published")</f>
        <v>Published</v>
      </c>
      <c r="AB187" s="165"/>
      <c r="AC187" s="166" t="str">
        <f>IFERROR(__xludf.DUMMYFUNCTION("""COMPUTED_VALUE"""),"https://doi.org/10.1109/IC3INA60834.2023.10285805")</f>
        <v>https://doi.org/10.1109/IC3INA60834.2023.10285805</v>
      </c>
    </row>
    <row r="188" ht="15.75" customHeight="1">
      <c r="A188" s="131">
        <v>183.0</v>
      </c>
      <c r="B188" s="58" t="str">
        <f t="shared" si="2"/>
        <v/>
      </c>
      <c r="C188" s="179"/>
      <c r="D188" s="47"/>
      <c r="E188" s="185"/>
      <c r="F188" s="176"/>
      <c r="G188" s="176"/>
      <c r="H188" s="35"/>
      <c r="I188" s="35"/>
      <c r="J188" s="35"/>
      <c r="K188" s="35"/>
      <c r="L188" s="35"/>
      <c r="M188" s="35"/>
      <c r="N188" s="35"/>
      <c r="O188" s="35"/>
      <c r="P188" s="35"/>
      <c r="Q188" s="35"/>
      <c r="R188" s="181"/>
      <c r="S188" s="35"/>
      <c r="T188" s="35"/>
      <c r="U188" s="37" t="s">
        <v>31</v>
      </c>
      <c r="V188" s="167"/>
      <c r="W188" s="168"/>
      <c r="X188" s="173"/>
      <c r="Z188" s="165" t="str">
        <f>IFERROR(__xludf.DUMMYFUNCTION("""COMPUTED_VALUE"""),"The Impact of Downsampling Methods on Face Recognition in Electronic Identity Card")</f>
        <v>The Impact of Downsampling Methods on Face Recognition in Electronic Identity Card</v>
      </c>
      <c r="AA188" s="165" t="str">
        <f>IFERROR(__xludf.DUMMYFUNCTION("""COMPUTED_VALUE"""),"Published")</f>
        <v>Published</v>
      </c>
      <c r="AB188" s="165"/>
      <c r="AC188" s="166" t="str">
        <f>IFERROR(__xludf.DUMMYFUNCTION("""COMPUTED_VALUE"""),"https://doi.org/10.1109/IC3INA60834.2023.10285777")</f>
        <v>https://doi.org/10.1109/IC3INA60834.2023.10285777</v>
      </c>
    </row>
    <row r="189" ht="15.75" customHeight="1">
      <c r="A189" s="131">
        <v>184.0</v>
      </c>
      <c r="B189" s="58" t="str">
        <f t="shared" si="2"/>
        <v/>
      </c>
      <c r="C189" s="179"/>
      <c r="D189" s="47"/>
      <c r="E189" s="185"/>
      <c r="F189" s="176"/>
      <c r="G189" s="176"/>
      <c r="H189" s="35"/>
      <c r="I189" s="35"/>
      <c r="J189" s="35"/>
      <c r="K189" s="35"/>
      <c r="L189" s="35"/>
      <c r="M189" s="35"/>
      <c r="N189" s="35"/>
      <c r="O189" s="35"/>
      <c r="P189" s="35"/>
      <c r="Q189" s="35"/>
      <c r="R189" s="181"/>
      <c r="S189" s="35"/>
      <c r="T189" s="35"/>
      <c r="U189" s="37" t="s">
        <v>31</v>
      </c>
      <c r="V189" s="167"/>
      <c r="W189" s="168"/>
      <c r="X189" s="173"/>
      <c r="Z189" s="165" t="str">
        <f>IFERROR(__xludf.DUMMYFUNCTION("""COMPUTED_VALUE"""),"Twitter Dataset on Public Sentiments Towards Biodiversity Policy in Indonesia")</f>
        <v>Twitter Dataset on Public Sentiments Towards Biodiversity Policy in Indonesia</v>
      </c>
      <c r="AA189" s="165" t="str">
        <f>IFERROR(__xludf.DUMMYFUNCTION("""COMPUTED_VALUE"""),"Published")</f>
        <v>Published</v>
      </c>
      <c r="AB189" s="165"/>
      <c r="AC189" s="166" t="str">
        <f>IFERROR(__xludf.DUMMYFUNCTION("""COMPUTED_VALUE"""),"https://doi.org/10.1016/j.dib.2023.109890")</f>
        <v>https://doi.org/10.1016/j.dib.2023.109890</v>
      </c>
    </row>
    <row r="190" ht="15.75" customHeight="1">
      <c r="A190" s="131">
        <v>185.0</v>
      </c>
      <c r="B190" s="58" t="str">
        <f t="shared" si="2"/>
        <v/>
      </c>
      <c r="C190" s="179"/>
      <c r="D190" s="47"/>
      <c r="E190" s="185"/>
      <c r="F190" s="176"/>
      <c r="G190" s="176"/>
      <c r="H190" s="35"/>
      <c r="I190" s="35"/>
      <c r="J190" s="35"/>
      <c r="K190" s="35"/>
      <c r="L190" s="35"/>
      <c r="M190" s="35"/>
      <c r="N190" s="35"/>
      <c r="O190" s="35"/>
      <c r="P190" s="35"/>
      <c r="Q190" s="35"/>
      <c r="R190" s="181"/>
      <c r="S190" s="35"/>
      <c r="T190" s="35"/>
      <c r="U190" s="37" t="s">
        <v>31</v>
      </c>
      <c r="V190" s="167"/>
      <c r="W190" s="168"/>
      <c r="X190" s="173"/>
      <c r="Z190" s="165" t="str">
        <f>IFERROR(__xludf.DUMMYFUNCTION("""COMPUTED_VALUE"""),"Understanding the meanings of citations using sentiment, role, and citation function classifications")</f>
        <v>Understanding the meanings of citations using sentiment, role, and citation function classifications</v>
      </c>
      <c r="AA190" s="165" t="str">
        <f>IFERROR(__xludf.DUMMYFUNCTION("""COMPUTED_VALUE"""),"Published")</f>
        <v>Published</v>
      </c>
      <c r="AB190" s="165"/>
      <c r="AC190" s="166" t="str">
        <f>IFERROR(__xludf.DUMMYFUNCTION("""COMPUTED_VALUE"""),"https://doi.org/10.1007/s11192-022-04567-4")</f>
        <v>https://doi.org/10.1007/s11192-022-04567-4</v>
      </c>
    </row>
    <row r="191" ht="15.75" customHeight="1">
      <c r="A191" s="131">
        <v>186.0</v>
      </c>
      <c r="B191" s="58" t="str">
        <f t="shared" si="2"/>
        <v/>
      </c>
      <c r="C191" s="179"/>
      <c r="D191" s="47"/>
      <c r="E191" s="185"/>
      <c r="F191" s="176"/>
      <c r="G191" s="176"/>
      <c r="H191" s="35"/>
      <c r="I191" s="35"/>
      <c r="J191" s="35"/>
      <c r="K191" s="35"/>
      <c r="L191" s="35"/>
      <c r="M191" s="35"/>
      <c r="N191" s="35"/>
      <c r="O191" s="35"/>
      <c r="P191" s="35"/>
      <c r="Q191" s="35"/>
      <c r="R191" s="181"/>
      <c r="S191" s="35"/>
      <c r="T191" s="35"/>
      <c r="U191" s="37" t="s">
        <v>31</v>
      </c>
      <c r="V191" s="167"/>
      <c r="W191" s="168"/>
      <c r="X191" s="173"/>
      <c r="Z191" s="165" t="str">
        <f>IFERROR(__xludf.DUMMYFUNCTION("""COMPUTED_VALUE"""),"Learning bilingual word embedding for automatic text summarization in 
 low resource language")</f>
        <v>Learning bilingual word embedding for automatic text summarization in 
 low resource language</v>
      </c>
      <c r="AA191" s="165" t="str">
        <f>IFERROR(__xludf.DUMMYFUNCTION("""COMPUTED_VALUE"""),"Published")</f>
        <v>Published</v>
      </c>
      <c r="AB191" s="165"/>
      <c r="AC191" s="166" t="str">
        <f>IFERROR(__xludf.DUMMYFUNCTION("""COMPUTED_VALUE"""),"https://doi.org/10.1016/j.jksuci.2023.03.015")</f>
        <v>https://doi.org/10.1016/j.jksuci.2023.03.015</v>
      </c>
    </row>
    <row r="192" ht="15.75" customHeight="1">
      <c r="A192" s="131">
        <v>187.0</v>
      </c>
      <c r="B192" s="58" t="str">
        <f t="shared" si="2"/>
        <v/>
      </c>
      <c r="C192" s="179"/>
      <c r="D192" s="47"/>
      <c r="E192" s="185"/>
      <c r="F192" s="176"/>
      <c r="G192" s="176"/>
      <c r="H192" s="35"/>
      <c r="I192" s="35"/>
      <c r="J192" s="35"/>
      <c r="K192" s="35"/>
      <c r="L192" s="35"/>
      <c r="M192" s="35"/>
      <c r="N192" s="35"/>
      <c r="O192" s="35"/>
      <c r="P192" s="35"/>
      <c r="Q192" s="35"/>
      <c r="R192" s="181"/>
      <c r="S192" s="35"/>
      <c r="T192" s="35"/>
      <c r="U192" s="37" t="s">
        <v>31</v>
      </c>
      <c r="V192" s="167"/>
      <c r="W192" s="168"/>
      <c r="X192" s="173"/>
      <c r="Z192" s="165" t="str">
        <f>IFERROR(__xludf.DUMMYFUNCTION("""COMPUTED_VALUE"""),"Spatial integration framework of solar, wind, and hydropower energy potential in Southeast Asia")</f>
        <v>Spatial integration framework of solar, wind, and hydropower energy potential in Southeast Asia</v>
      </c>
      <c r="AA192" s="165" t="str">
        <f>IFERROR(__xludf.DUMMYFUNCTION("""COMPUTED_VALUE"""),"Published")</f>
        <v>Published</v>
      </c>
      <c r="AB192" s="165"/>
      <c r="AC192" s="166" t="str">
        <f>IFERROR(__xludf.DUMMYFUNCTION("""COMPUTED_VALUE"""),"https://doi.org/10.1038/s41598-022-25570-y")</f>
        <v>https://doi.org/10.1038/s41598-022-25570-y</v>
      </c>
    </row>
    <row r="193" ht="15.75" customHeight="1">
      <c r="A193" s="131">
        <v>188.0</v>
      </c>
      <c r="B193" s="58" t="str">
        <f t="shared" si="2"/>
        <v/>
      </c>
      <c r="C193" s="179"/>
      <c r="D193" s="47"/>
      <c r="E193" s="185"/>
      <c r="F193" s="176"/>
      <c r="G193" s="176"/>
      <c r="H193" s="35"/>
      <c r="I193" s="35"/>
      <c r="J193" s="35"/>
      <c r="K193" s="35"/>
      <c r="L193" s="35"/>
      <c r="M193" s="35"/>
      <c r="N193" s="35"/>
      <c r="O193" s="35"/>
      <c r="P193" s="35"/>
      <c r="Q193" s="35"/>
      <c r="R193" s="181"/>
      <c r="S193" s="35"/>
      <c r="T193" s="35"/>
      <c r="U193" s="37" t="s">
        <v>31</v>
      </c>
      <c r="V193" s="167"/>
      <c r="W193" s="168"/>
      <c r="X193" s="173"/>
      <c r="Z193" s="165" t="str">
        <f>IFERROR(__xludf.DUMMYFUNCTION("""COMPUTED_VALUE"""),"Optimization of Vehicle Routing Problem in the Context of E-commerce Logistics Distribution.")</f>
        <v>Optimization of Vehicle Routing Problem in the Context of E-commerce Logistics Distribution.</v>
      </c>
      <c r="AA193" s="165" t="str">
        <f>IFERROR(__xludf.DUMMYFUNCTION("""COMPUTED_VALUE"""),"Published")</f>
        <v>Published</v>
      </c>
      <c r="AB193" s="165"/>
      <c r="AC193" s="166" t="str">
        <f>IFERROR(__xludf.DUMMYFUNCTION("""COMPUTED_VALUE"""),"https://www.scopus.com/authid/detail.uri?authorId=57190489490")</f>
        <v>https://www.scopus.com/authid/detail.uri?authorId=57190489490</v>
      </c>
    </row>
    <row r="194" ht="15.75" customHeight="1">
      <c r="A194" s="131">
        <v>189.0</v>
      </c>
      <c r="B194" s="58" t="str">
        <f t="shared" si="2"/>
        <v/>
      </c>
      <c r="C194" s="179"/>
      <c r="D194" s="47"/>
      <c r="E194" s="185"/>
      <c r="F194" s="176"/>
      <c r="G194" s="176"/>
      <c r="H194" s="35"/>
      <c r="I194" s="35"/>
      <c r="J194" s="35"/>
      <c r="K194" s="35"/>
      <c r="L194" s="35"/>
      <c r="M194" s="35"/>
      <c r="N194" s="35"/>
      <c r="O194" s="35"/>
      <c r="P194" s="35"/>
      <c r="Q194" s="35"/>
      <c r="R194" s="181"/>
      <c r="S194" s="35"/>
      <c r="T194" s="35"/>
      <c r="U194" s="37" t="s">
        <v>31</v>
      </c>
      <c r="V194" s="167"/>
      <c r="W194" s="168"/>
      <c r="X194" s="173"/>
      <c r="Z194" s="165" t="str">
        <f>IFERROR(__xludf.DUMMYFUNCTION("""COMPUTED_VALUE"""),"Supply chain strategy during the COVID-19 terms: sentiment analysis and knowledge discovery through text mining")</f>
        <v>Supply chain strategy during the COVID-19 terms: sentiment analysis and knowledge discovery through text mining</v>
      </c>
      <c r="AA194" s="165" t="str">
        <f>IFERROR(__xludf.DUMMYFUNCTION("""COMPUTED_VALUE"""),"Published")</f>
        <v>Published</v>
      </c>
      <c r="AB194" s="165"/>
      <c r="AC194" s="166" t="str">
        <f>IFERROR(__xludf.DUMMYFUNCTION("""COMPUTED_VALUE"""),"http://doi.org/10.11591/ijeecs.v30.i2.pp1120-1127")</f>
        <v>http://doi.org/10.11591/ijeecs.v30.i2.pp1120-1127</v>
      </c>
    </row>
    <row r="195" ht="15.75" customHeight="1">
      <c r="A195" s="131">
        <v>190.0</v>
      </c>
      <c r="B195" s="58" t="str">
        <f t="shared" si="2"/>
        <v/>
      </c>
      <c r="C195" s="179"/>
      <c r="D195" s="47"/>
      <c r="E195" s="185"/>
      <c r="F195" s="176"/>
      <c r="G195" s="176"/>
      <c r="H195" s="35"/>
      <c r="I195" s="35"/>
      <c r="J195" s="35"/>
      <c r="K195" s="35"/>
      <c r="L195" s="35"/>
      <c r="M195" s="35"/>
      <c r="N195" s="35"/>
      <c r="O195" s="35"/>
      <c r="P195" s="35"/>
      <c r="Q195" s="35"/>
      <c r="R195" s="181"/>
      <c r="S195" s="35"/>
      <c r="T195" s="35"/>
      <c r="U195" s="37" t="s">
        <v>31</v>
      </c>
      <c r="V195" s="167"/>
      <c r="W195" s="168"/>
      <c r="X195" s="173"/>
      <c r="Z195" s="165" t="str">
        <f>IFERROR(__xludf.DUMMYFUNCTION("""COMPUTED_VALUE"""),"Connectivity, sport events, and tourism development of Mandalika’s special economic zone: A perspective from big data cognitive analytics")</f>
        <v>Connectivity, sport events, and tourism development of Mandalika’s special economic zone: A perspective from big data cognitive analytics</v>
      </c>
      <c r="AA195" s="165" t="str">
        <f>IFERROR(__xludf.DUMMYFUNCTION("""COMPUTED_VALUE"""),"Published")</f>
        <v>Published</v>
      </c>
      <c r="AB195" s="165"/>
      <c r="AC195" s="166" t="str">
        <f>IFERROR(__xludf.DUMMYFUNCTION("""COMPUTED_VALUE"""),"https://doi.org/10.1080/23311975.2023.2183565")</f>
        <v>https://doi.org/10.1080/23311975.2023.2183565</v>
      </c>
    </row>
    <row r="196" ht="15.75" customHeight="1">
      <c r="A196" s="131">
        <v>191.0</v>
      </c>
      <c r="B196" s="58" t="str">
        <f t="shared" si="2"/>
        <v/>
      </c>
      <c r="C196" s="179"/>
      <c r="D196" s="47"/>
      <c r="E196" s="185"/>
      <c r="F196" s="176"/>
      <c r="G196" s="176"/>
      <c r="H196" s="35"/>
      <c r="I196" s="35"/>
      <c r="J196" s="35"/>
      <c r="K196" s="35"/>
      <c r="L196" s="35"/>
      <c r="M196" s="35"/>
      <c r="N196" s="35"/>
      <c r="O196" s="35"/>
      <c r="P196" s="35"/>
      <c r="Q196" s="35"/>
      <c r="R196" s="181"/>
      <c r="S196" s="35"/>
      <c r="T196" s="35"/>
      <c r="U196" s="37" t="s">
        <v>31</v>
      </c>
      <c r="V196" s="167"/>
      <c r="W196" s="168"/>
      <c r="X196" s="173"/>
      <c r="Z196" s="165" t="str">
        <f>IFERROR(__xludf.DUMMYFUNCTION("""COMPUTED_VALUE"""),"Boosting Algorithm to handle Unbalanced Classification of PM2.5 Concentration Levels by Observing Meteorological Parameters in Jakarta-Indonesia using AdaBoost, XGBoost, CatBoost, and LightGBM")</f>
        <v>Boosting Algorithm to handle Unbalanced Classification of PM2.5 Concentration Levels by Observing Meteorological Parameters in Jakarta-Indonesia using AdaBoost, XGBoost, CatBoost, and LightGBM</v>
      </c>
      <c r="AA196" s="165" t="str">
        <f>IFERROR(__xludf.DUMMYFUNCTION("""COMPUTED_VALUE"""),"Published")</f>
        <v>Published</v>
      </c>
      <c r="AB196" s="165"/>
      <c r="AC196" s="165" t="str">
        <f>IFERROR(__xludf.DUMMYFUNCTION("""COMPUTED_VALUE"""),"10.1109/ACCESS.2023.3265019")</f>
        <v>10.1109/ACCESS.2023.3265019</v>
      </c>
    </row>
    <row r="197" ht="15.75" customHeight="1">
      <c r="A197" s="131">
        <v>192.0</v>
      </c>
      <c r="B197" s="58" t="str">
        <f t="shared" si="2"/>
        <v/>
      </c>
      <c r="C197" s="179"/>
      <c r="D197" s="47"/>
      <c r="E197" s="185"/>
      <c r="F197" s="176"/>
      <c r="G197" s="176"/>
      <c r="H197" s="35"/>
      <c r="I197" s="35"/>
      <c r="J197" s="35"/>
      <c r="K197" s="35"/>
      <c r="L197" s="35"/>
      <c r="M197" s="35"/>
      <c r="N197" s="35"/>
      <c r="O197" s="35"/>
      <c r="P197" s="35"/>
      <c r="Q197" s="35"/>
      <c r="R197" s="181"/>
      <c r="S197" s="35"/>
      <c r="T197" s="35"/>
      <c r="U197" s="37" t="s">
        <v>31</v>
      </c>
      <c r="V197" s="167"/>
      <c r="W197" s="168"/>
      <c r="X197" s="173"/>
      <c r="Z197" s="165" t="str">
        <f>IFERROR(__xludf.DUMMYFUNCTION("""COMPUTED_VALUE"""),"Revisiting fuel subsidies in Indonesia using k- means, PAM, and CLARA")</f>
        <v>Revisiting fuel subsidies in Indonesia using k- means, PAM, and CLARA</v>
      </c>
      <c r="AA197" s="165" t="str">
        <f>IFERROR(__xludf.DUMMYFUNCTION("""COMPUTED_VALUE"""),"Published")</f>
        <v>Published</v>
      </c>
      <c r="AB197" s="165"/>
      <c r="AC197" s="166" t="str">
        <f>IFERROR(__xludf.DUMMYFUNCTION("""COMPUTED_VALUE"""),"https://www.researchgate.net/publication/373165302_Revisiting_Fuel_Subsidies_in_Indonesia_using_K-Means_PAM_and_CLARA")</f>
        <v>https://www.researchgate.net/publication/373165302_Revisiting_Fuel_Subsidies_in_Indonesia_using_K-Means_PAM_and_CLARA</v>
      </c>
    </row>
    <row r="198" ht="15.75" customHeight="1">
      <c r="A198" s="131">
        <v>193.0</v>
      </c>
      <c r="B198" s="58" t="str">
        <f t="shared" si="2"/>
        <v/>
      </c>
      <c r="C198" s="179"/>
      <c r="D198" s="47"/>
      <c r="E198" s="185"/>
      <c r="F198" s="176"/>
      <c r="G198" s="176"/>
      <c r="H198" s="35"/>
      <c r="I198" s="35"/>
      <c r="J198" s="35"/>
      <c r="K198" s="35"/>
      <c r="L198" s="35"/>
      <c r="M198" s="35"/>
      <c r="N198" s="35"/>
      <c r="O198" s="35"/>
      <c r="P198" s="35"/>
      <c r="Q198" s="35"/>
      <c r="R198" s="181"/>
      <c r="S198" s="35"/>
      <c r="T198" s="35"/>
      <c r="U198" s="37" t="s">
        <v>31</v>
      </c>
      <c r="V198" s="167"/>
      <c r="W198" s="168"/>
      <c r="X198" s="173"/>
      <c r="Z198" s="165" t="str">
        <f>IFERROR(__xludf.DUMMYFUNCTION("""COMPUTED_VALUE"""),"Designing An Ecosystem Model for E-Government Ontology Development Using Ecosystem Pie Model")</f>
        <v>Designing An Ecosystem Model for E-Government Ontology Development Using Ecosystem Pie Model</v>
      </c>
      <c r="AA198" s="165" t="str">
        <f>IFERROR(__xludf.DUMMYFUNCTION("""COMPUTED_VALUE"""),"Published")</f>
        <v>Published</v>
      </c>
      <c r="AB198" s="165"/>
      <c r="AC198" s="166" t="str">
        <f>IFERROR(__xludf.DUMMYFUNCTION("""COMPUTED_VALUE"""),"https://doi.org/10.1109/ICITISEE57756.2022.10057669")</f>
        <v>https://doi.org/10.1109/ICITISEE57756.2022.10057669</v>
      </c>
    </row>
    <row r="199" ht="15.75" customHeight="1">
      <c r="A199" s="131">
        <v>194.0</v>
      </c>
      <c r="B199" s="58" t="str">
        <f t="shared" si="2"/>
        <v/>
      </c>
      <c r="C199" s="179"/>
      <c r="D199" s="47"/>
      <c r="E199" s="185"/>
      <c r="F199" s="176"/>
      <c r="G199" s="176"/>
      <c r="H199" s="35"/>
      <c r="I199" s="35"/>
      <c r="J199" s="35"/>
      <c r="K199" s="35"/>
      <c r="L199" s="35"/>
      <c r="M199" s="35"/>
      <c r="N199" s="35"/>
      <c r="O199" s="35"/>
      <c r="P199" s="35"/>
      <c r="Q199" s="35"/>
      <c r="R199" s="181"/>
      <c r="S199" s="35"/>
      <c r="T199" s="35"/>
      <c r="U199" s="37" t="s">
        <v>31</v>
      </c>
      <c r="V199" s="167"/>
      <c r="W199" s="168"/>
      <c r="X199" s="173"/>
      <c r="Z199" s="165" t="str">
        <f>IFERROR(__xludf.DUMMYFUNCTION("""COMPUTED_VALUE"""),"Hybrid Local Search Algorithm for Optimization Route of Travelling Salesman Problem")</f>
        <v>Hybrid Local Search Algorithm for Optimization Route of Travelling Salesman Problem</v>
      </c>
      <c r="AA199" s="165" t="str">
        <f>IFERROR(__xludf.DUMMYFUNCTION("""COMPUTED_VALUE"""),"Published")</f>
        <v>Published</v>
      </c>
      <c r="AB199" s="165"/>
      <c r="AC199" s="165" t="str">
        <f>IFERROR(__xludf.DUMMYFUNCTION("""COMPUTED_VALUE"""),"10.14569/IJACSA.2023.0140935")</f>
        <v>10.14569/IJACSA.2023.0140935</v>
      </c>
    </row>
    <row r="200" ht="15.75" customHeight="1">
      <c r="A200" s="195">
        <v>195.0</v>
      </c>
      <c r="B200" s="58" t="str">
        <f t="shared" si="2"/>
        <v/>
      </c>
      <c r="C200" s="196"/>
      <c r="D200" s="197"/>
      <c r="E200" s="198"/>
      <c r="F200" s="199"/>
      <c r="G200" s="176"/>
      <c r="H200" s="35"/>
      <c r="I200" s="35"/>
      <c r="J200" s="35"/>
      <c r="K200" s="35"/>
      <c r="L200" s="35"/>
      <c r="M200" s="35"/>
      <c r="N200" s="35"/>
      <c r="O200" s="35"/>
      <c r="P200" s="35"/>
      <c r="Q200" s="200"/>
      <c r="R200" s="201"/>
      <c r="S200" s="200"/>
      <c r="T200" s="200"/>
      <c r="U200" s="37" t="s">
        <v>31</v>
      </c>
      <c r="V200" s="202"/>
      <c r="W200" s="203"/>
      <c r="X200" s="204"/>
      <c r="Z200" s="165" t="str">
        <f>IFERROR(__xludf.DUMMYFUNCTION("""COMPUTED_VALUE"""),"Using Alchian Allen Theorem to Revisiting Fish Trade Connectivity in Indonesia")</f>
        <v>Using Alchian Allen Theorem to Revisiting Fish Trade Connectivity in Indonesia</v>
      </c>
      <c r="AA200" s="165" t="str">
        <f>IFERROR(__xludf.DUMMYFUNCTION("""COMPUTED_VALUE"""),"Published")</f>
        <v>Published</v>
      </c>
      <c r="AB200" s="165"/>
      <c r="AC200" s="166" t="str">
        <f>IFERROR(__xludf.DUMMYFUNCTION("""COMPUTED_VALUE"""),"10.7225/toms.v12.n02.013")</f>
        <v>10.7225/toms.v12.n02.013</v>
      </c>
    </row>
    <row r="201" ht="15.75" customHeight="1">
      <c r="F201" s="205"/>
      <c r="G201" s="206"/>
      <c r="V201" s="207"/>
      <c r="W201" s="207"/>
      <c r="X201" s="206"/>
      <c r="Z201" s="165" t="str">
        <f>IFERROR(__xludf.DUMMYFUNCTION("""COMPUTED_VALUE"""),"Correlation Analysis of Vibration Signal Frequency with Tool Wear During the Milling Process on Martensitic Stainless Steel Material")</f>
        <v>Correlation Analysis of Vibration Signal Frequency with Tool Wear During the Milling Process on Martensitic Stainless Steel Material</v>
      </c>
      <c r="AA201" s="165" t="str">
        <f>IFERROR(__xludf.DUMMYFUNCTION("""COMPUTED_VALUE"""),"Published")</f>
        <v>Published</v>
      </c>
      <c r="AB201" s="165"/>
      <c r="AC201" s="166" t="str">
        <f>IFERROR(__xludf.DUMMYFUNCTION("""COMPUTED_VALUE"""),"https://doi.org/10.1007/s13369-023-08397-1")</f>
        <v>https://doi.org/10.1007/s13369-023-08397-1</v>
      </c>
    </row>
    <row r="202" ht="15.75" customHeight="1">
      <c r="F202" s="205"/>
      <c r="G202" s="206"/>
      <c r="V202" s="207"/>
      <c r="W202" s="207"/>
      <c r="X202" s="206"/>
      <c r="Z202" s="165" t="str">
        <f>IFERROR(__xludf.DUMMYFUNCTION("""COMPUTED_VALUE"""),"A web-based numerical model for sustainable management of Lake Batur, Bali: preliminary results")</f>
        <v>A web-based numerical model for sustainable management of Lake Batur, Bali: preliminary results</v>
      </c>
      <c r="AA202" s="165" t="str">
        <f>IFERROR(__xludf.DUMMYFUNCTION("""COMPUTED_VALUE"""),"Published")</f>
        <v>Published</v>
      </c>
      <c r="AB202" s="166" t="str">
        <f>IFERROR(__xludf.DUMMYFUNCTION("""COMPUTED_VALUE"""),"https://iopscience.iop.org/article/10.1088/1755-1315/1201/1/012049")</f>
        <v>https://iopscience.iop.org/article/10.1088/1755-1315/1201/1/012049</v>
      </c>
      <c r="AC202" s="166" t="str">
        <f>IFERROR(__xludf.DUMMYFUNCTION("""COMPUTED_VALUE"""),"https://doi.org/10.1088/1755-1315/1201/1/012049")</f>
        <v>https://doi.org/10.1088/1755-1315/1201/1/012049</v>
      </c>
    </row>
    <row r="203" ht="15.75" customHeight="1">
      <c r="F203" s="205"/>
      <c r="G203" s="206"/>
      <c r="V203" s="207"/>
      <c r="W203" s="207"/>
      <c r="X203" s="206"/>
      <c r="Z203" s="165" t="str">
        <f>IFERROR(__xludf.DUMMYFUNCTION("""COMPUTED_VALUE"""),"Analyze Transmission Data from a Multi-Node Patient's Respiratory FMCW Radar to the Internet of Things")</f>
        <v>Analyze Transmission Data from a Multi-Node Patient's Respiratory FMCW Radar to the Internet of Things</v>
      </c>
      <c r="AA203" s="165" t="str">
        <f>IFERROR(__xludf.DUMMYFUNCTION("""COMPUTED_VALUE"""),"Published")</f>
        <v>Published</v>
      </c>
      <c r="AB203" s="166" t="str">
        <f>IFERROR(__xludf.DUMMYFUNCTION("""COMPUTED_VALUE"""),"https://dx.doi.org/10.14569/IJACSA.2023.0140521")</f>
        <v>https://dx.doi.org/10.14569/IJACSA.2023.0140521</v>
      </c>
      <c r="AC203" s="166" t="str">
        <f>IFERROR(__xludf.DUMMYFUNCTION("""COMPUTED_VALUE"""),"https://doi.org/10.14569/IJACSA.2023.0140521")</f>
        <v>https://doi.org/10.14569/IJACSA.2023.0140521</v>
      </c>
    </row>
    <row r="204" ht="15.75" customHeight="1">
      <c r="E204" s="208"/>
      <c r="F204" s="205"/>
      <c r="G204" s="206"/>
      <c r="V204" s="207"/>
      <c r="W204" s="207"/>
      <c r="X204" s="206"/>
      <c r="Z204" s="165" t="str">
        <f>IFERROR(__xludf.DUMMYFUNCTION("""COMPUTED_VALUE"""),"Automated Classification of Multiclass Brain Tumor MRI Images Using Enhanced Deep Learning Technique")</f>
        <v>Automated Classification of Multiclass Brain Tumor MRI Images Using Enhanced Deep Learning Technique</v>
      </c>
      <c r="AA204" s="165" t="str">
        <f>IFERROR(__xludf.DUMMYFUNCTION("""COMPUTED_VALUE"""),"Published")</f>
        <v>Published</v>
      </c>
      <c r="AB204" s="166" t="str">
        <f>IFERROR(__xludf.DUMMYFUNCTION("""COMPUTED_VALUE"""),"https://dx.doi.org/10.14569/IJACSA.2023.01411120")</f>
        <v>https://dx.doi.org/10.14569/IJACSA.2023.01411120</v>
      </c>
      <c r="AC204" s="165"/>
    </row>
    <row r="205" ht="15.75" customHeight="1">
      <c r="F205" s="205"/>
      <c r="G205" s="206"/>
      <c r="V205" s="207"/>
      <c r="W205" s="207"/>
      <c r="X205" s="206"/>
      <c r="Z205" s="165" t="str">
        <f>IFERROR(__xludf.DUMMYFUNCTION("""COMPUTED_VALUE"""),"Automatic image segmentation model for indirect land use change with deep convolutional neural network")</f>
        <v>Automatic image segmentation model for indirect land use change with deep convolutional neural network</v>
      </c>
      <c r="AA205" s="165" t="str">
        <f>IFERROR(__xludf.DUMMYFUNCTION("""COMPUTED_VALUE"""),"Published")</f>
        <v>Published</v>
      </c>
      <c r="AB205" s="166" t="str">
        <f>IFERROR(__xludf.DUMMYFUNCTION("""COMPUTED_VALUE"""),"https://link.springer.com/article/10.1007/s41324-023-00560-y")</f>
        <v>https://link.springer.com/article/10.1007/s41324-023-00560-y</v>
      </c>
      <c r="AC205" s="166" t="str">
        <f>IFERROR(__xludf.DUMMYFUNCTION("""COMPUTED_VALUE"""),"https://doi.org/10.1007/s41324-023-00560-y")</f>
        <v>https://doi.org/10.1007/s41324-023-00560-y</v>
      </c>
    </row>
    <row r="206" ht="15.75" customHeight="1">
      <c r="F206" s="205"/>
      <c r="G206" s="206"/>
      <c r="V206" s="207"/>
      <c r="W206" s="207"/>
      <c r="X206" s="206"/>
      <c r="Z206" s="165" t="str">
        <f>IFERROR(__xludf.DUMMYFUNCTION("""COMPUTED_VALUE"""),"Characteristic of rain rate associated with floods during the 2021 rainy season around Jakarta and Bekasi River")</f>
        <v>Characteristic of rain rate associated with floods during the 2021 rainy season around Jakarta and Bekasi River</v>
      </c>
      <c r="AA206" s="165" t="str">
        <f>IFERROR(__xludf.DUMMYFUNCTION("""COMPUTED_VALUE"""),"Published")</f>
        <v>Published</v>
      </c>
      <c r="AB206" s="166" t="str">
        <f>IFERROR(__xludf.DUMMYFUNCTION("""COMPUTED_VALUE"""),"https://doi.org/10.1088/1755-1315/1109/1/012010")</f>
        <v>https://doi.org/10.1088/1755-1315/1109/1/012010</v>
      </c>
      <c r="AC206" s="165"/>
    </row>
    <row r="207" ht="15.75" customHeight="1">
      <c r="F207" s="205"/>
      <c r="G207" s="206"/>
      <c r="V207" s="207"/>
      <c r="W207" s="207"/>
      <c r="X207" s="206"/>
      <c r="Z207" s="165" t="str">
        <f>IFERROR(__xludf.DUMMYFUNCTION("""COMPUTED_VALUE"""),"Characterization of Timau National Observatory using limited in situ measurements")</f>
        <v>Characterization of Timau National Observatory using limited in situ measurements</v>
      </c>
      <c r="AA207" s="165" t="str">
        <f>IFERROR(__xludf.DUMMYFUNCTION("""COMPUTED_VALUE"""),"Published")</f>
        <v>Published</v>
      </c>
      <c r="AB207" s="166" t="str">
        <f>IFERROR(__xludf.DUMMYFUNCTION("""COMPUTED_VALUE"""),"https://doi.org/10.1093/mnras/stac3349")</f>
        <v>https://doi.org/10.1093/mnras/stac3349</v>
      </c>
      <c r="AC207" s="165"/>
    </row>
    <row r="208" ht="15.75" customHeight="1">
      <c r="F208" s="205"/>
      <c r="G208" s="206"/>
      <c r="V208" s="207"/>
      <c r="W208" s="207"/>
      <c r="X208" s="206"/>
      <c r="Z208" s="165" t="str">
        <f>IFERROR(__xludf.DUMMYFUNCTION("""COMPUTED_VALUE"""),"Current-induced scouring around a submarine pipeline using a multi-phase flow model with different inter-phase drag models")</f>
        <v>Current-induced scouring around a submarine pipeline using a multi-phase flow model with different inter-phase drag models</v>
      </c>
      <c r="AA208" s="165" t="str">
        <f>IFERROR(__xludf.DUMMYFUNCTION("""COMPUTED_VALUE"""),"Published")</f>
        <v>Published</v>
      </c>
      <c r="AB208" s="166" t="str">
        <f>IFERROR(__xludf.DUMMYFUNCTION("""COMPUTED_VALUE"""),"https://www.sciencedirect.com/science/article/abs/pii/S0029801823020759")</f>
        <v>https://www.sciencedirect.com/science/article/abs/pii/S0029801823020759</v>
      </c>
      <c r="AC208" s="166" t="str">
        <f>IFERROR(__xludf.DUMMYFUNCTION("""COMPUTED_VALUE"""),"https://doi.org/10.1016/j.oceaneng.2023.115691")</f>
        <v>https://doi.org/10.1016/j.oceaneng.2023.115691</v>
      </c>
    </row>
    <row r="209" ht="15.75" customHeight="1">
      <c r="F209" s="205"/>
      <c r="G209" s="206"/>
      <c r="V209" s="207"/>
      <c r="W209" s="207"/>
      <c r="X209" s="206"/>
      <c r="Z209" s="165" t="str">
        <f>IFERROR(__xludf.DUMMYFUNCTION("""COMPUTED_VALUE"""),"Dataset of de novo transcriptome assembly of Rhizome in Curcuma aeruginosa Roxb")</f>
        <v>Dataset of de novo transcriptome assembly of Rhizome in Curcuma aeruginosa Roxb</v>
      </c>
      <c r="AA209" s="165" t="str">
        <f>IFERROR(__xludf.DUMMYFUNCTION("""COMPUTED_VALUE"""),"Published")</f>
        <v>Published</v>
      </c>
      <c r="AB209" s="166" t="str">
        <f>IFERROR(__xludf.DUMMYFUNCTION("""COMPUTED_VALUE"""),"https://www.sciencedirect.com/science/article/pii/S2352340923003736")</f>
        <v>https://www.sciencedirect.com/science/article/pii/S2352340923003736</v>
      </c>
      <c r="AC209" s="166" t="str">
        <f>IFERROR(__xludf.DUMMYFUNCTION("""COMPUTED_VALUE"""),"https://doi.org/10.1016/j.dib.2023.109254")</f>
        <v>https://doi.org/10.1016/j.dib.2023.109254</v>
      </c>
    </row>
    <row r="210" ht="15.75" customHeight="1">
      <c r="F210" s="205"/>
      <c r="G210" s="206"/>
      <c r="V210" s="207"/>
      <c r="W210" s="207"/>
      <c r="X210" s="206"/>
      <c r="Z210" s="165" t="str">
        <f>IFERROR(__xludf.DUMMYFUNCTION("""COMPUTED_VALUE"""),"Defect formation energies of Ag- and Sr-doped 3C-SiC : the first-principles study")</f>
        <v>Defect formation energies of Ag- and Sr-doped 3C-SiC : the first-principles study</v>
      </c>
      <c r="AA210" s="165" t="str">
        <f>IFERROR(__xludf.DUMMYFUNCTION("""COMPUTED_VALUE"""),"Published")</f>
        <v>Published</v>
      </c>
      <c r="AB210" s="166" t="str">
        <f>IFERROR(__xludf.DUMMYFUNCTION("""COMPUTED_VALUE"""),"https://www.worldscientific.com/doi/10.1142/S2047684123500410")</f>
        <v>https://www.worldscientific.com/doi/10.1142/S2047684123500410</v>
      </c>
      <c r="AC210" s="166" t="str">
        <f>IFERROR(__xludf.DUMMYFUNCTION("""COMPUTED_VALUE"""),"https://doi.org/10.1142/S2047684123500410")</f>
        <v>https://doi.org/10.1142/S2047684123500410</v>
      </c>
    </row>
    <row r="211" ht="15.75" customHeight="1">
      <c r="F211" s="205"/>
      <c r="G211" s="206"/>
      <c r="V211" s="207"/>
      <c r="W211" s="207"/>
      <c r="X211" s="206"/>
      <c r="Z211" s="165" t="str">
        <f>IFERROR(__xludf.DUMMYFUNCTION("""COMPUTED_VALUE"""),"Delivering High-Resolution Historical Remote Sensing Image using Integration of SRGAN")</f>
        <v>Delivering High-Resolution Historical Remote Sensing Image using Integration of SRGAN</v>
      </c>
      <c r="AA211" s="165" t="str">
        <f>IFERROR(__xludf.DUMMYFUNCTION("""COMPUTED_VALUE"""),"Published")</f>
        <v>Published</v>
      </c>
      <c r="AB211" s="166" t="str">
        <f>IFERROR(__xludf.DUMMYFUNCTION("""COMPUTED_VALUE"""),"https://doi.org/10.1109/IC3INA60834.2023.10285755")</f>
        <v>https://doi.org/10.1109/IC3INA60834.2023.10285755</v>
      </c>
      <c r="AC211" s="165"/>
    </row>
    <row r="212" ht="15.75" customHeight="1">
      <c r="F212" s="205"/>
      <c r="G212" s="206"/>
      <c r="V212" s="207"/>
      <c r="W212" s="207"/>
      <c r="X212" s="206"/>
      <c r="Z212" s="165" t="str">
        <f>IFERROR(__xludf.DUMMYFUNCTION("""COMPUTED_VALUE"""),"Development of a Flood Hazard Mapping Model using Random Forest and Frequency Ratio in Sumedang Regency, West Java, Indonesia")</f>
        <v>Development of a Flood Hazard Mapping Model using Random Forest and Frequency Ratio in Sumedang Regency, West Java, Indonesia</v>
      </c>
      <c r="AA212" s="165" t="str">
        <f>IFERROR(__xludf.DUMMYFUNCTION("""COMPUTED_VALUE"""),"Published")</f>
        <v>Published</v>
      </c>
      <c r="AB212" s="166" t="str">
        <f>IFERROR(__xludf.DUMMYFUNCTION("""COMPUTED_VALUE"""),"https://doi.org/10.7494/geom.2023.17.6.129")</f>
        <v>https://doi.org/10.7494/geom.2023.17.6.129</v>
      </c>
      <c r="AC212" s="165"/>
    </row>
    <row r="213" ht="15.75" customHeight="1">
      <c r="F213" s="205"/>
      <c r="G213" s="206"/>
      <c r="V213" s="207"/>
      <c r="W213" s="207"/>
      <c r="X213" s="206"/>
      <c r="Z213" s="165" t="str">
        <f>IFERROR(__xludf.DUMMYFUNCTION("""COMPUTED_VALUE"""),"Development of Classification Efficiency of MRI Image Results for Brain Tumor Using EfficientNet")</f>
        <v>Development of Classification Efficiency of MRI Image Results for Brain Tumor Using EfficientNet</v>
      </c>
      <c r="AA213" s="165" t="str">
        <f>IFERROR(__xludf.DUMMYFUNCTION("""COMPUTED_VALUE"""),"Published")</f>
        <v>Published</v>
      </c>
      <c r="AB213" s="166" t="str">
        <f>IFERROR(__xludf.DUMMYFUNCTION("""COMPUTED_VALUE"""),"https://doi.org/10.1109/ISITIA59021.2023.10221186 ")</f>
        <v>https://doi.org/10.1109/ISITIA59021.2023.10221186 </v>
      </c>
      <c r="AC213" s="165"/>
    </row>
    <row r="214" ht="15.75" customHeight="1">
      <c r="F214" s="205"/>
      <c r="G214" s="206"/>
      <c r="V214" s="207"/>
      <c r="W214" s="207"/>
      <c r="X214" s="206"/>
      <c r="Z214" s="165" t="str">
        <f>IFERROR(__xludf.DUMMYFUNCTION("""COMPUTED_VALUE"""),"Distributed flood simulation based on satellite rainfall data at the Ciliwung River Basin, Jawa, Indonesia")</f>
        <v>Distributed flood simulation based on satellite rainfall data at the Ciliwung River Basin, Jawa, Indonesia</v>
      </c>
      <c r="AA214" s="165" t="str">
        <f>IFERROR(__xludf.DUMMYFUNCTION("""COMPUTED_VALUE"""),"Published")</f>
        <v>Published</v>
      </c>
      <c r="AB214" s="166" t="str">
        <f>IFERROR(__xludf.DUMMYFUNCTION("""COMPUTED_VALUE"""),"https://doi.org/10.1088/1755-1315/1127/1/012025")</f>
        <v>https://doi.org/10.1088/1755-1315/1127/1/012025</v>
      </c>
      <c r="AC214" s="166" t="str">
        <f>IFERROR(__xludf.DUMMYFUNCTION("""COMPUTED_VALUE"""),"https://iopscience.iop.org/article/10.1088/1755-1315/1127/1/012025/meta")</f>
        <v>https://iopscience.iop.org/article/10.1088/1755-1315/1127/1/012025/meta</v>
      </c>
    </row>
    <row r="215" ht="15.75" customHeight="1">
      <c r="F215" s="205"/>
      <c r="G215" s="206"/>
      <c r="V215" s="207"/>
      <c r="W215" s="207"/>
      <c r="X215" s="206"/>
      <c r="Z215" s="165" t="str">
        <f>IFERROR(__xludf.DUMMYFUNCTION("""COMPUTED_VALUE"""),"Effects Of Land Cover, Topography, And Wind On Fire Spread In Kalimantan Using Cellular Automata")</f>
        <v>Effects Of Land Cover, Topography, And Wind On Fire Spread In Kalimantan Using Cellular Automata</v>
      </c>
      <c r="AA215" s="165" t="str">
        <f>IFERROR(__xludf.DUMMYFUNCTION("""COMPUTED_VALUE"""),"Published")</f>
        <v>Published</v>
      </c>
      <c r="AB215" s="166" t="str">
        <f>IFERROR(__xludf.DUMMYFUNCTION("""COMPUTED_VALUE"""),"https://doi.org/10.1145/3575882.3575914")</f>
        <v>https://doi.org/10.1145/3575882.3575914</v>
      </c>
      <c r="AC215" s="165"/>
    </row>
    <row r="216" ht="15.75" customHeight="1">
      <c r="F216" s="205"/>
      <c r="G216" s="206"/>
      <c r="V216" s="207"/>
      <c r="W216" s="207"/>
      <c r="X216" s="206"/>
      <c r="Z216" s="165" t="str">
        <f>IFERROR(__xludf.DUMMYFUNCTION("""COMPUTED_VALUE"""),"EfficientNetV2 based for MRI brain tumor image classification")</f>
        <v>EfficientNetV2 based for MRI brain tumor image classification</v>
      </c>
      <c r="AA216" s="165" t="str">
        <f>IFERROR(__xludf.DUMMYFUNCTION("""COMPUTED_VALUE"""),"Published")</f>
        <v>Published</v>
      </c>
      <c r="AB216" s="166" t="str">
        <f>IFERROR(__xludf.DUMMYFUNCTION("""COMPUTED_VALUE"""),"https://drive.google.com/file/d/1NjGuvwU_Xnc5crQXF1qgarOUHWWw0ONL/view?usp=sharing")</f>
        <v>https://drive.google.com/file/d/1NjGuvwU_Xnc5crQXF1qgarOUHWWw0ONL/view?usp=sharing</v>
      </c>
      <c r="AC216" s="166" t="str">
        <f>IFERROR(__xludf.DUMMYFUNCTION("""COMPUTED_VALUE"""),"https://doi.org/10.1109/IC3INA60834.2023.10285782")</f>
        <v>https://doi.org/10.1109/IC3INA60834.2023.10285782</v>
      </c>
    </row>
    <row r="217" ht="15.75" customHeight="1">
      <c r="F217" s="205"/>
      <c r="G217" s="206"/>
      <c r="V217" s="207"/>
      <c r="W217" s="207"/>
      <c r="X217" s="206"/>
      <c r="Z217" s="165" t="str">
        <f>IFERROR(__xludf.DUMMYFUNCTION("""COMPUTED_VALUE"""),"Enhancing Machine Learning Models through Hyperparameter Optimization with Particle Swarm Optimization")</f>
        <v>Enhancing Machine Learning Models through Hyperparameter Optimization with Particle Swarm Optimization</v>
      </c>
      <c r="AA217" s="165" t="str">
        <f>IFERROR(__xludf.DUMMYFUNCTION("""COMPUTED_VALUE"""),"Published")</f>
        <v>Published</v>
      </c>
      <c r="AB217" s="166" t="str">
        <f>IFERROR(__xludf.DUMMYFUNCTION("""COMPUTED_VALUE"""),"https://doi.org/10.1109/IC3INA60834.2023.10285736")</f>
        <v>https://doi.org/10.1109/IC3INA60834.2023.10285736</v>
      </c>
      <c r="AC217" s="165"/>
    </row>
    <row r="218" ht="15.75" customHeight="1">
      <c r="F218" s="205"/>
      <c r="G218" s="206"/>
      <c r="V218" s="207"/>
      <c r="W218" s="207"/>
      <c r="X218" s="206"/>
      <c r="Z218" s="165" t="str">
        <f>IFERROR(__xludf.DUMMYFUNCTION("""COMPUTED_VALUE"""),"Evaluation of extreme precipitation over Southeast Asia in the Coupled Model Intercomparison Project Phase 5 regional climate model results and HighResMIP global climate models")</f>
        <v>Evaluation of extreme precipitation over Southeast Asia in the Coupled Model Intercomparison Project Phase 5 regional climate model results and HighResMIP global climate models</v>
      </c>
      <c r="AA218" s="165" t="str">
        <f>IFERROR(__xludf.DUMMYFUNCTION("""COMPUTED_VALUE"""),"Published")</f>
        <v>Published</v>
      </c>
      <c r="AB218" s="166" t="str">
        <f>IFERROR(__xludf.DUMMYFUNCTION("""COMPUTED_VALUE"""),"https://doi.org/10.1002/joc.7938 ")</f>
        <v>https://doi.org/10.1002/joc.7938 </v>
      </c>
      <c r="AC218" s="165"/>
    </row>
    <row r="219" ht="15.75" customHeight="1">
      <c r="F219" s="205"/>
      <c r="G219" s="206"/>
      <c r="V219" s="207"/>
      <c r="W219" s="207"/>
      <c r="X219" s="206"/>
      <c r="Z219" s="165" t="str">
        <f>IFERROR(__xludf.DUMMYFUNCTION("""COMPUTED_VALUE"""),"Experimental study and thermodynamic modeling of clonazepam solubility in supercritical carbon dioxide")</f>
        <v>Experimental study and thermodynamic modeling of clonazepam solubility in supercritical carbon dioxide</v>
      </c>
      <c r="AA219" s="165" t="str">
        <f>IFERROR(__xludf.DUMMYFUNCTION("""COMPUTED_VALUE"""),"Published")</f>
        <v>Published</v>
      </c>
      <c r="AB219" s="166" t="str">
        <f>IFERROR(__xludf.DUMMYFUNCTION("""COMPUTED_VALUE"""),"https://www.sciencedirect.com/science/article/pii/S0378381223001607?via%3Dihub")</f>
        <v>https://www.sciencedirect.com/science/article/pii/S0378381223001607?via%3Dihub</v>
      </c>
      <c r="AC219" s="166" t="str">
        <f>IFERROR(__xludf.DUMMYFUNCTION("""COMPUTED_VALUE"""),"https://doi.org/10.1016/j.fluid.2023.113880")</f>
        <v>https://doi.org/10.1016/j.fluid.2023.113880</v>
      </c>
    </row>
    <row r="220" ht="15.75" customHeight="1">
      <c r="F220" s="205"/>
      <c r="G220" s="206"/>
      <c r="V220" s="207"/>
      <c r="W220" s="207"/>
      <c r="X220" s="206"/>
      <c r="Z220" s="165" t="str">
        <f>IFERROR(__xludf.DUMMYFUNCTION("""COMPUTED_VALUE"""),"Impact of air pollution on solar radiation in Megacity Jakarta 
")</f>
        <v>Impact of air pollution on solar radiation in Megacity Jakarta 
</v>
      </c>
      <c r="AA220" s="165" t="str">
        <f>IFERROR(__xludf.DUMMYFUNCTION("""COMPUTED_VALUE"""),"Published")</f>
        <v>Published</v>
      </c>
      <c r="AB220" s="166" t="str">
        <f>IFERROR(__xludf.DUMMYFUNCTION("""COMPUTED_VALUE"""),"https://doi.org/10.1145/3575882.3575913")</f>
        <v>https://doi.org/10.1145/3575882.3575913</v>
      </c>
      <c r="AC220" s="165"/>
    </row>
    <row r="221" ht="15.75" customHeight="1">
      <c r="F221" s="205"/>
      <c r="G221" s="206"/>
      <c r="V221" s="207"/>
      <c r="W221" s="207"/>
      <c r="X221" s="206"/>
      <c r="Z221" s="165" t="str">
        <f>IFERROR(__xludf.DUMMYFUNCTION("""COMPUTED_VALUE"""),"Implementation of Workflow Engine on BRIN HPC Infrastructure")</f>
        <v>Implementation of Workflow Engine on BRIN HPC Infrastructure</v>
      </c>
      <c r="AA221" s="165" t="str">
        <f>IFERROR(__xludf.DUMMYFUNCTION("""COMPUTED_VALUE"""),"Published")</f>
        <v>Published</v>
      </c>
      <c r="AB221" s="166" t="str">
        <f>IFERROR(__xludf.DUMMYFUNCTION("""COMPUTED_VALUE"""),"https://doi.org/10.1145/3575882.3575958")</f>
        <v>https://doi.org/10.1145/3575882.3575958</v>
      </c>
      <c r="AC221" s="165"/>
    </row>
    <row r="222" ht="15.75" customHeight="1">
      <c r="F222" s="205"/>
      <c r="G222" s="206"/>
      <c r="V222" s="207"/>
      <c r="W222" s="207"/>
      <c r="X222" s="206"/>
      <c r="Z222" s="165" t="str">
        <f>IFERROR(__xludf.DUMMYFUNCTION("""COMPUTED_VALUE"""),"Interactive Simulation Tool for Spatio-Temporal Data of Climate-related Fires over Borneo")</f>
        <v>Interactive Simulation Tool for Spatio-Temporal Data of Climate-related Fires over Borneo</v>
      </c>
      <c r="AA222" s="165" t="str">
        <f>IFERROR(__xludf.DUMMYFUNCTION("""COMPUTED_VALUE"""),"Published")</f>
        <v>Published</v>
      </c>
      <c r="AB222" s="166" t="str">
        <f>IFERROR(__xludf.DUMMYFUNCTION("""COMPUTED_VALUE"""),"https://doi.org/10.1109/ICoICT58202.2023.10262511")</f>
        <v>https://doi.org/10.1109/ICoICT58202.2023.10262511</v>
      </c>
      <c r="AC222" s="165"/>
    </row>
    <row r="223" ht="15.75" customHeight="1">
      <c r="F223" s="205"/>
      <c r="G223" s="206"/>
      <c r="V223" s="207"/>
      <c r="W223" s="207"/>
      <c r="X223" s="206"/>
      <c r="Z223" s="165" t="str">
        <f>IFERROR(__xludf.DUMMYFUNCTION("""COMPUTED_VALUE"""),"Joint use of Sentinel-2 and Sentinel-1 data for rapid mapping of volcanic eruption deposits in Southeast Asia")</f>
        <v>Joint use of Sentinel-2 and Sentinel-1 data for rapid mapping of volcanic eruption deposits in Southeast Asia</v>
      </c>
      <c r="AA223" s="165" t="str">
        <f>IFERROR(__xludf.DUMMYFUNCTION("""COMPUTED_VALUE"""),"Published")</f>
        <v>Published</v>
      </c>
      <c r="AB223" s="166" t="str">
        <f>IFERROR(__xludf.DUMMYFUNCTION("""COMPUTED_VALUE"""),"https://doi.org/10.1016/j.jag.2022.103166")</f>
        <v>https://doi.org/10.1016/j.jag.2022.103166</v>
      </c>
      <c r="AC223" s="165"/>
    </row>
    <row r="224" ht="15.75" customHeight="1">
      <c r="F224" s="205"/>
      <c r="G224" s="206"/>
      <c r="V224" s="207"/>
      <c r="W224" s="207"/>
      <c r="X224" s="206"/>
      <c r="Z224" s="165" t="str">
        <f>IFERROR(__xludf.DUMMYFUNCTION("""COMPUTED_VALUE"""),"Lava flow mapping Karangetang Volcano during 2019 eruption using Sentinel-2 Images and Random Forest model
")</f>
        <v>Lava flow mapping Karangetang Volcano during 2019 eruption using Sentinel-2 Images and Random Forest model
</v>
      </c>
      <c r="AA224" s="165" t="str">
        <f>IFERROR(__xludf.DUMMYFUNCTION("""COMPUTED_VALUE"""),"Published")</f>
        <v>Published</v>
      </c>
      <c r="AB224" s="166" t="str">
        <f>IFERROR(__xludf.DUMMYFUNCTION("""COMPUTED_VALUE"""),"https://doi.org/10.1088/1755-1315/1109/1/012063")</f>
        <v>https://doi.org/10.1088/1755-1315/1109/1/012063</v>
      </c>
      <c r="AC224" s="166" t="str">
        <f>IFERROR(__xludf.DUMMYFUNCTION("""COMPUTED_VALUE"""),"https://drive.google.com/file/d/1MjUwRvbMsrtzBWPByu0kGLIWP0dWA6fA/view?usp=sharing")</f>
        <v>https://drive.google.com/file/d/1MjUwRvbMsrtzBWPByu0kGLIWP0dWA6fA/view?usp=sharing</v>
      </c>
    </row>
    <row r="225" ht="15.75" customHeight="1">
      <c r="F225" s="205"/>
      <c r="G225" s="206"/>
      <c r="V225" s="207"/>
      <c r="W225" s="207"/>
      <c r="X225" s="206"/>
      <c r="Z225" s="165" t="str">
        <f>IFERROR(__xludf.DUMMYFUNCTION("""COMPUTED_VALUE"""),"Modelling the climate factors affecting forest fire in Sumatra using Random Forest and Artificial Neural Network")</f>
        <v>Modelling the climate factors affecting forest fire in Sumatra using Random Forest and Artificial Neural Network</v>
      </c>
      <c r="AA225" s="165" t="str">
        <f>IFERROR(__xludf.DUMMYFUNCTION("""COMPUTED_VALUE"""),"Published")</f>
        <v>Published</v>
      </c>
      <c r="AB225" s="166" t="str">
        <f>IFERROR(__xludf.DUMMYFUNCTION("""COMPUTED_VALUE"""),"https://doi.org/10.1145/3575882.3575920")</f>
        <v>https://doi.org/10.1145/3575882.3575920</v>
      </c>
      <c r="AC225" s="165"/>
    </row>
    <row r="226" ht="15.75" customHeight="1">
      <c r="F226" s="205"/>
      <c r="G226" s="206"/>
      <c r="V226" s="207"/>
      <c r="W226" s="207"/>
      <c r="X226" s="206"/>
      <c r="Z226" s="165" t="str">
        <f>IFERROR(__xludf.DUMMYFUNCTION("""COMPUTED_VALUE"""),"Near-Future Projections of Rainfall, Temperature, and Solar Radiation in Sumatra Island Under Climate Change Scenarios")</f>
        <v>Near-Future Projections of Rainfall, Temperature, and Solar Radiation in Sumatra Island Under Climate Change Scenarios</v>
      </c>
      <c r="AA226" s="165" t="str">
        <f>IFERROR(__xludf.DUMMYFUNCTION("""COMPUTED_VALUE"""),"Published")</f>
        <v>Published</v>
      </c>
      <c r="AB226" s="166" t="str">
        <f>IFERROR(__xludf.DUMMYFUNCTION("""COMPUTED_VALUE"""),"https://link.springer.com/chapter/10.1007/978-981-19-9768-6_59 ")</f>
        <v>https://link.springer.com/chapter/10.1007/978-981-19-9768-6_59 </v>
      </c>
      <c r="AC226" s="166" t="str">
        <f>IFERROR(__xludf.DUMMYFUNCTION("""COMPUTED_VALUE"""),"https://doi.org/10.1007/978-981-19-9768-6_59")</f>
        <v>https://doi.org/10.1007/978-981-19-9768-6_59</v>
      </c>
    </row>
    <row r="227" ht="15.75" customHeight="1">
      <c r="F227" s="205"/>
      <c r="G227" s="206"/>
      <c r="V227" s="207"/>
      <c r="W227" s="207"/>
      <c r="X227" s="206"/>
      <c r="Z227" s="165" t="str">
        <f>IFERROR(__xludf.DUMMYFUNCTION("""COMPUTED_VALUE"""),"New Thermodynamic Models to Correlate Solubility of Drugs in Supercritical Carbon Dioxide")</f>
        <v>New Thermodynamic Models to Correlate Solubility of Drugs in Supercritical Carbon Dioxide</v>
      </c>
      <c r="AA227" s="165" t="str">
        <f>IFERROR(__xludf.DUMMYFUNCTION("""COMPUTED_VALUE"""),"Published")</f>
        <v>Published</v>
      </c>
      <c r="AB227" s="166" t="str">
        <f>IFERROR(__xludf.DUMMYFUNCTION("""COMPUTED_VALUE"""),"https://www.ijcce.ac.ir/article_707555.html")</f>
        <v>https://www.ijcce.ac.ir/article_707555.html</v>
      </c>
      <c r="AC227" s="166" t="str">
        <f>IFERROR(__xludf.DUMMYFUNCTION("""COMPUTED_VALUE"""),"https://doi.org/10.30492/IJCCE.2023.1988687.5846")</f>
        <v>https://doi.org/10.30492/IJCCE.2023.1988687.5846</v>
      </c>
    </row>
    <row r="228" ht="15.75" customHeight="1">
      <c r="F228" s="205"/>
      <c r="G228" s="206"/>
      <c r="V228" s="207"/>
      <c r="W228" s="207"/>
      <c r="X228" s="206"/>
      <c r="Z228" s="165" t="str">
        <f>IFERROR(__xludf.DUMMYFUNCTION("""COMPUTED_VALUE"""),"Open science progress: A literature assessment of open access articles")</f>
        <v>Open science progress: A literature assessment of open access articles</v>
      </c>
      <c r="AA228" s="165" t="str">
        <f>IFERROR(__xludf.DUMMYFUNCTION("""COMPUTED_VALUE"""),"Published")</f>
        <v>Published</v>
      </c>
      <c r="AB228" s="166" t="str">
        <f>IFERROR(__xludf.DUMMYFUNCTION("""COMPUTED_VALUE"""),"https://doi.org/10.1145/3575882.3575934")</f>
        <v>https://doi.org/10.1145/3575882.3575934</v>
      </c>
      <c r="AC228" s="165"/>
    </row>
    <row r="229" ht="15.75" customHeight="1">
      <c r="F229" s="205"/>
      <c r="G229" s="206"/>
      <c r="V229" s="207"/>
      <c r="W229" s="207"/>
      <c r="X229" s="206"/>
      <c r="Z229" s="165" t="str">
        <f>IFERROR(__xludf.DUMMYFUNCTION("""COMPUTED_VALUE"""),"Parallel Computing Implementation of Marine Heat Waves Detection")</f>
        <v>Parallel Computing Implementation of Marine Heat Waves Detection</v>
      </c>
      <c r="AA229" s="165" t="str">
        <f>IFERROR(__xludf.DUMMYFUNCTION("""COMPUTED_VALUE"""),"Published")</f>
        <v>Published</v>
      </c>
      <c r="AB229" s="166" t="str">
        <f>IFERROR(__xludf.DUMMYFUNCTION("""COMPUTED_VALUE"""),"https://doi.org/10.1109/IC3INA60834.2023.10285767")</f>
        <v>https://doi.org/10.1109/IC3INA60834.2023.10285767</v>
      </c>
      <c r="AC229" s="165"/>
    </row>
    <row r="230" ht="15.75" customHeight="1">
      <c r="F230" s="205"/>
      <c r="G230" s="206"/>
      <c r="V230" s="207"/>
      <c r="W230" s="207"/>
      <c r="X230" s="206"/>
      <c r="Z230" s="165" t="str">
        <f>IFERROR(__xludf.DUMMYFUNCTION("""COMPUTED_VALUE"""),"Performance of density functional theory for calculating the electronic, static, and dynamic nonlinear optical properties of asymmetric (3E,5E)-3,5-dibenzylidene-piperidin-4-one derivatives")</f>
        <v>Performance of density functional theory for calculating the electronic, static, and dynamic nonlinear optical properties of asymmetric (3E,5E)-3,5-dibenzylidene-piperidin-4-one derivatives</v>
      </c>
      <c r="AA230" s="165" t="str">
        <f>IFERROR(__xludf.DUMMYFUNCTION("""COMPUTED_VALUE"""),"Published")</f>
        <v>Published</v>
      </c>
      <c r="AB230" s="166" t="str">
        <f>IFERROR(__xludf.DUMMYFUNCTION("""COMPUTED_VALUE"""),"https://doi.org/10.1007/s11082-023-05383-7")</f>
        <v>https://doi.org/10.1007/s11082-023-05383-7</v>
      </c>
      <c r="AC230" s="165"/>
    </row>
    <row r="231" ht="15.75" customHeight="1">
      <c r="F231" s="205"/>
      <c r="G231" s="206"/>
      <c r="V231" s="207"/>
      <c r="W231" s="207"/>
      <c r="X231" s="206"/>
      <c r="Z231" s="165" t="str">
        <f>IFERROR(__xludf.DUMMYFUNCTION("""COMPUTED_VALUE"""),"Phase-resolved waves over isolated shallow seamounts")</f>
        <v>Phase-resolved waves over isolated shallow seamounts</v>
      </c>
      <c r="AA231" s="165" t="str">
        <f>IFERROR(__xludf.DUMMYFUNCTION("""COMPUTED_VALUE"""),"Published")</f>
        <v>Published</v>
      </c>
      <c r="AB231" s="166" t="str">
        <f>IFERROR(__xludf.DUMMYFUNCTION("""COMPUTED_VALUE"""),"https://doi.org/10.3390/jmse11091765")</f>
        <v>https://doi.org/10.3390/jmse11091765</v>
      </c>
      <c r="AC231" s="165"/>
    </row>
    <row r="232" ht="15.75" customHeight="1">
      <c r="F232" s="205"/>
      <c r="G232" s="206"/>
      <c r="V232" s="207"/>
      <c r="W232" s="207"/>
      <c r="X232" s="206"/>
      <c r="Z232" s="165" t="str">
        <f>IFERROR(__xludf.DUMMYFUNCTION("""COMPUTED_VALUE"""),"Review of artificial neural network applications for prediction of internal combustion engine performance")</f>
        <v>Review of artificial neural network applications for prediction of internal combustion engine performance</v>
      </c>
      <c r="AA232" s="165" t="str">
        <f>IFERROR(__xludf.DUMMYFUNCTION("""COMPUTED_VALUE"""),"Published")</f>
        <v>Published</v>
      </c>
      <c r="AB232" s="166" t="str">
        <f>IFERROR(__xludf.DUMMYFUNCTION("""COMPUTED_VALUE"""),"https://doi.org/10.1063/5.0117389")</f>
        <v>https://doi.org/10.1063/5.0117389</v>
      </c>
      <c r="AC232" s="165"/>
    </row>
    <row r="233" ht="15.75" customHeight="1">
      <c r="F233" s="205"/>
      <c r="G233" s="206"/>
      <c r="V233" s="207"/>
      <c r="W233" s="207"/>
      <c r="X233" s="206"/>
      <c r="Z233" s="165" t="str">
        <f>IFERROR(__xludf.DUMMYFUNCTION("""COMPUTED_VALUE"""),"Rice Projection in Sumatra by 2045 Regarding Climate Projection and Crop Model")</f>
        <v>Rice Projection in Sumatra by 2045 Regarding Climate Projection and Crop Model</v>
      </c>
      <c r="AA233" s="165" t="str">
        <f>IFERROR(__xludf.DUMMYFUNCTION("""COMPUTED_VALUE"""),"Published")</f>
        <v>Published</v>
      </c>
      <c r="AB233" s="166" t="str">
        <f>IFERROR(__xludf.DUMMYFUNCTION("""COMPUTED_VALUE"""),"https://link.springer.com/chapter/10.1007/978-981-19-9768-6_62")</f>
        <v>https://link.springer.com/chapter/10.1007/978-981-19-9768-6_62</v>
      </c>
      <c r="AC233" s="166" t="str">
        <f>IFERROR(__xludf.DUMMYFUNCTION("""COMPUTED_VALUE"""),"https://doi.org/10.1007/978-981-19-9768-6_62")</f>
        <v>https://doi.org/10.1007/978-981-19-9768-6_62</v>
      </c>
    </row>
    <row r="234" ht="15.75" customHeight="1">
      <c r="F234" s="205"/>
      <c r="G234" s="206"/>
      <c r="V234" s="207"/>
      <c r="W234" s="207"/>
      <c r="X234" s="206"/>
      <c r="Z234" s="165" t="str">
        <f>IFERROR(__xludf.DUMMYFUNCTION("""COMPUTED_VALUE"""),"Role of Main Group Nonmetal Dopants on the Electronic Properties of the TcS2 Monolayer Revealed by Density Functional Theory")</f>
        <v>Role of Main Group Nonmetal Dopants on the Electronic Properties of the TcS2 Monolayer Revealed by Density Functional Theory</v>
      </c>
      <c r="AA234" s="165" t="str">
        <f>IFERROR(__xludf.DUMMYFUNCTION("""COMPUTED_VALUE"""),"Published")</f>
        <v>Published</v>
      </c>
      <c r="AB234" s="166" t="str">
        <f>IFERROR(__xludf.DUMMYFUNCTION("""COMPUTED_VALUE"""),"https://doi.org/10.1007/s11664-023-10513-8")</f>
        <v>https://doi.org/10.1007/s11664-023-10513-8</v>
      </c>
      <c r="AC234" s="165"/>
    </row>
    <row r="235" ht="15.75" customHeight="1">
      <c r="F235" s="205"/>
      <c r="G235" s="206"/>
      <c r="V235" s="207"/>
      <c r="W235" s="207"/>
      <c r="X235" s="206"/>
      <c r="Z235" s="165" t="str">
        <f>IFERROR(__xludf.DUMMYFUNCTION("""COMPUTED_VALUE"""),"SARS-CoV-2 genetic variation and bacterial communities of naso-oropharyngeal samples in middle-aged and elderly COVID-19 patients in West Java, Indonesia")</f>
        <v>SARS-CoV-2 genetic variation and bacterial communities of naso-oropharyngeal samples in middle-aged and elderly COVID-19 patients in West Java, Indonesia</v>
      </c>
      <c r="AA235" s="165" t="str">
        <f>IFERROR(__xludf.DUMMYFUNCTION("""COMPUTED_VALUE"""),"Published")</f>
        <v>Published</v>
      </c>
      <c r="AB235" s="166" t="str">
        <f>IFERROR(__xludf.DUMMYFUNCTION("""COMPUTED_VALUE"""),"https://www.sciencedirect.com/science/article/pii/S1658361223001348?via%3Dihub#kwrds0015")</f>
        <v>https://www.sciencedirect.com/science/article/pii/S1658361223001348?via%3Dihub#kwrds0015</v>
      </c>
      <c r="AC235" s="166" t="str">
        <f>IFERROR(__xludf.DUMMYFUNCTION("""COMPUTED_VALUE"""),"https://doi.org/10.1016/j.jtumed.2023.09.001")</f>
        <v>https://doi.org/10.1016/j.jtumed.2023.09.001</v>
      </c>
    </row>
    <row r="236" ht="15.75" customHeight="1">
      <c r="F236" s="205"/>
      <c r="G236" s="206"/>
      <c r="V236" s="207"/>
      <c r="W236" s="207"/>
      <c r="X236" s="206"/>
      <c r="Z236" s="165" t="str">
        <f>IFERROR(__xludf.DUMMYFUNCTION("""COMPUTED_VALUE"""),"Short-Term Road Traffic Flow Prediction Model on Damaged Road Characteristics (Type of Distress Raveling)
")</f>
        <v>Short-Term Road Traffic Flow Prediction Model on Damaged Road Characteristics (Type of Distress Raveling)
</v>
      </c>
      <c r="AA236" s="165" t="str">
        <f>IFERROR(__xludf.DUMMYFUNCTION("""COMPUTED_VALUE"""),"Published")</f>
        <v>Published</v>
      </c>
      <c r="AB236" s="166" t="str">
        <f>IFERROR(__xludf.DUMMYFUNCTION("""COMPUTED_VALUE"""),"https://doi.org/10.1145/3575882.3575919")</f>
        <v>https://doi.org/10.1145/3575882.3575919</v>
      </c>
      <c r="AC236" s="165"/>
    </row>
    <row r="237" ht="15.75" customHeight="1">
      <c r="F237" s="205"/>
      <c r="G237" s="206"/>
      <c r="V237" s="207"/>
      <c r="W237" s="207"/>
      <c r="X237" s="206"/>
      <c r="Z237" s="165" t="str">
        <f>IFERROR(__xludf.DUMMYFUNCTION("""COMPUTED_VALUE"""),"Solubility Measurement of Verapamil for the Preparation of developed nanomedicines using supercritical fluid")</f>
        <v>Solubility Measurement of Verapamil for the Preparation of developed nanomedicines using supercritical fluid</v>
      </c>
      <c r="AA237" s="165" t="str">
        <f>IFERROR(__xludf.DUMMYFUNCTION("""COMPUTED_VALUE"""),"Published")</f>
        <v>Published</v>
      </c>
      <c r="AB237" s="166" t="str">
        <f>IFERROR(__xludf.DUMMYFUNCTION("""COMPUTED_VALUE"""),"https://www.nature.com/articles/s41598-023-44280-7")</f>
        <v>https://www.nature.com/articles/s41598-023-44280-7</v>
      </c>
      <c r="AC237" s="166" t="str">
        <f>IFERROR(__xludf.DUMMYFUNCTION("""COMPUTED_VALUE"""),"https://doi.org/10.1038/s41598-023-44280-7")</f>
        <v>https://doi.org/10.1038/s41598-023-44280-7</v>
      </c>
    </row>
    <row r="238" ht="15.75" customHeight="1">
      <c r="F238" s="205"/>
      <c r="G238" s="206"/>
      <c r="V238" s="207"/>
      <c r="W238" s="207"/>
      <c r="X238" s="206"/>
      <c r="Z238" s="165" t="str">
        <f>IFERROR(__xludf.DUMMYFUNCTION("""COMPUTED_VALUE"""),"Solubility of famotidine in supercritical carbon dioxide: Experimental measurement and
thermodynamic modeling")</f>
        <v>Solubility of famotidine in supercritical carbon dioxide: Experimental measurement and
thermodynamic modeling</v>
      </c>
      <c r="AA238" s="165" t="str">
        <f>IFERROR(__xludf.DUMMYFUNCTION("""COMPUTED_VALUE"""),"Published")</f>
        <v>Published</v>
      </c>
      <c r="AB238" s="166" t="str">
        <f>IFERROR(__xludf.DUMMYFUNCTION("""COMPUTED_VALUE"""),"https://www.sciencedirect.com/science/article/pii/S089684462300195X?via%3Dihub")</f>
        <v>https://www.sciencedirect.com/science/article/pii/S089684462300195X?via%3Dihub</v>
      </c>
      <c r="AC238" s="166" t="str">
        <f>IFERROR(__xludf.DUMMYFUNCTION("""COMPUTED_VALUE"""),"https://doi.org/10.1016/j.supflu.2023.106031")</f>
        <v>https://doi.org/10.1016/j.supflu.2023.106031</v>
      </c>
    </row>
    <row r="239" ht="15.75" customHeight="1">
      <c r="F239" s="205"/>
      <c r="G239" s="206"/>
      <c r="V239" s="207"/>
      <c r="W239" s="207"/>
      <c r="X239" s="206"/>
      <c r="Z239" s="165" t="str">
        <f>IFERROR(__xludf.DUMMYFUNCTION("""COMPUTED_VALUE"""),"Solubility of Triamcinolone Acetonide (Steroid Medication) in supercritical CO2: Experimental and thermodynamic modeling")</f>
        <v>Solubility of Triamcinolone Acetonide (Steroid Medication) in supercritical CO2: Experimental and thermodynamic modeling</v>
      </c>
      <c r="AA239" s="165" t="str">
        <f>IFERROR(__xludf.DUMMYFUNCTION("""COMPUTED_VALUE"""),"Published")</f>
        <v>Published</v>
      </c>
      <c r="AB239" s="166" t="str">
        <f>IFERROR(__xludf.DUMMYFUNCTION("""COMPUTED_VALUE"""),"https://www.sciencedirect.com/science/article/pii/S0896844623002838#sec0105")</f>
        <v>https://www.sciencedirect.com/science/article/pii/S0896844623002838#sec0105</v>
      </c>
      <c r="AC239" s="165"/>
    </row>
    <row r="240" ht="15.75" customHeight="1">
      <c r="F240" s="205"/>
      <c r="G240" s="206"/>
      <c r="V240" s="207"/>
      <c r="W240" s="207"/>
      <c r="X240" s="206"/>
      <c r="Z240" s="165" t="str">
        <f>IFERROR(__xludf.DUMMYFUNCTION("""COMPUTED_VALUE"""),"Studying the Equilibrium Points of the Modified Circular Restricted Three-body Problem: The Case of Sun-Haumea System")</f>
        <v>Studying the Equilibrium Points of the Modified Circular Restricted Three-body Problem: The Case of Sun-Haumea System</v>
      </c>
      <c r="AA240" s="165" t="str">
        <f>IFERROR(__xludf.DUMMYFUNCTION("""COMPUTED_VALUE"""),"Published")</f>
        <v>Published</v>
      </c>
      <c r="AB240" s="166" t="str">
        <f>IFERROR(__xludf.DUMMYFUNCTION("""COMPUTED_VALUE"""),"https://doi.org/10.1088/1674-4527/acf978")</f>
        <v>https://doi.org/10.1088/1674-4527/acf978</v>
      </c>
      <c r="AC240" s="165"/>
    </row>
    <row r="241" ht="15.75" customHeight="1">
      <c r="F241" s="205"/>
      <c r="G241" s="206"/>
      <c r="V241" s="207"/>
      <c r="W241" s="207"/>
      <c r="X241" s="206"/>
      <c r="Z241" s="165" t="str">
        <f>IFERROR(__xludf.DUMMYFUNCTION("""COMPUTED_VALUE"""),"Synthetic biology in Indonesia: Potential and projection in a country with mega biodiversity")</f>
        <v>Synthetic biology in Indonesia: Potential and projection in a country with mega biodiversity</v>
      </c>
      <c r="AA241" s="165" t="str">
        <f>IFERROR(__xludf.DUMMYFUNCTION("""COMPUTED_VALUE"""),"Published")</f>
        <v>Published</v>
      </c>
      <c r="AB241" s="166" t="str">
        <f>IFERROR(__xludf.DUMMYFUNCTION("""COMPUTED_VALUE"""),"https://doi.org/10.1016/j.biotno.2023.02.002")</f>
        <v>https://doi.org/10.1016/j.biotno.2023.02.002</v>
      </c>
      <c r="AC241" s="165"/>
    </row>
    <row r="242" ht="15.75" customHeight="1">
      <c r="F242" s="205"/>
      <c r="G242" s="206"/>
      <c r="V242" s="207"/>
      <c r="W242" s="207"/>
      <c r="X242" s="206"/>
      <c r="Z242" s="165" t="str">
        <f>IFERROR(__xludf.DUMMYFUNCTION("""COMPUTED_VALUE"""),"The comparison of relationship between climate variables and rice productivity in the clustering area on Java Island, Indonesia")</f>
        <v>The comparison of relationship between climate variables and rice productivity in the clustering area on Java Island, Indonesia</v>
      </c>
      <c r="AA242" s="165" t="str">
        <f>IFERROR(__xludf.DUMMYFUNCTION("""COMPUTED_VALUE"""),"Published")</f>
        <v>Published</v>
      </c>
      <c r="AB242" s="166" t="str">
        <f>IFERROR(__xludf.DUMMYFUNCTION("""COMPUTED_VALUE"""),"https://iopscience.iop.org/article/10.1088/1755-1315/1167/1/012016/pdf")</f>
        <v>https://iopscience.iop.org/article/10.1088/1755-1315/1167/1/012016/pdf</v>
      </c>
      <c r="AC242" s="166" t="str">
        <f>IFERROR(__xludf.DUMMYFUNCTION("""COMPUTED_VALUE"""),"https://doi.org/10.1088/1755-1315/1167/1/012016
")</f>
        <v>https://doi.org/10.1088/1755-1315/1167/1/012016
</v>
      </c>
    </row>
    <row r="243" ht="15.75" customHeight="1">
      <c r="F243" s="205"/>
      <c r="G243" s="206"/>
      <c r="V243" s="207"/>
      <c r="W243" s="207"/>
      <c r="X243" s="206"/>
      <c r="Z243" s="165" t="str">
        <f>IFERROR(__xludf.DUMMYFUNCTION("""COMPUTED_VALUE"""),"Tidal triggering of seismicity in the region of Palu, Central Sulawesi, Indonesia")</f>
        <v>Tidal triggering of seismicity in the region of Palu, Central Sulawesi, Indonesia</v>
      </c>
      <c r="AA243" s="165" t="str">
        <f>IFERROR(__xludf.DUMMYFUNCTION("""COMPUTED_VALUE"""),"Published")</f>
        <v>Published</v>
      </c>
      <c r="AB243" s="166" t="str">
        <f>IFERROR(__xludf.DUMMYFUNCTION("""COMPUTED_VALUE"""),"https://www.sciencedirect.com/science/article/pii/S1674984723000034")</f>
        <v>https://www.sciencedirect.com/science/article/pii/S1674984723000034</v>
      </c>
      <c r="AC243" s="166" t="str">
        <f>IFERROR(__xludf.DUMMYFUNCTION("""COMPUTED_VALUE"""),"https://doi.org/10.1016/j.geog.2022.12.002")</f>
        <v>https://doi.org/10.1016/j.geog.2022.12.002</v>
      </c>
    </row>
    <row r="244" ht="15.75" customHeight="1">
      <c r="F244" s="205"/>
      <c r="G244" s="206"/>
      <c r="V244" s="207"/>
      <c r="W244" s="207"/>
      <c r="X244" s="206"/>
      <c r="Z244" s="165" t="str">
        <f>IFERROR(__xludf.DUMMYFUNCTION("""COMPUTED_VALUE"""),"Two-phase modelling of pipeline scouring in OpenFOAM")</f>
        <v>Two-phase modelling of pipeline scouring in OpenFOAM</v>
      </c>
      <c r="AA244" s="165" t="str">
        <f>IFERROR(__xludf.DUMMYFUNCTION("""COMPUTED_VALUE"""),"Published")</f>
        <v>Published</v>
      </c>
      <c r="AB244" s="166" t="str">
        <f>IFERROR(__xludf.DUMMYFUNCTION("""COMPUTED_VALUE"""),"https://r10.ieee.org/indonesia-oetem/oetic-2022/#:~:text=In%202022%2C%20We%20are%20excited,held%20in%20a%20virtual%20format.
Bukti prosiding:
https://ieeexplore.ieee.org/document/10176219 ")</f>
        <v>https://r10.ieee.org/indonesia-oetem/oetic-2022/#:~:text=In%202022%2C%20We%20are%20excited,held%20in%20a%20virtual%20format.
Bukti prosiding:
https://ieeexplore.ieee.org/document/10176219 </v>
      </c>
      <c r="AC244" s="166" t="str">
        <f>IFERROR(__xludf.DUMMYFUNCTION("""COMPUTED_VALUE"""),"https://doi.org/10.1109/OETIC57156.2022.10176219")</f>
        <v>https://doi.org/10.1109/OETIC57156.2022.10176219</v>
      </c>
    </row>
    <row r="245" ht="15.75" customHeight="1">
      <c r="F245" s="205"/>
      <c r="G245" s="206"/>
      <c r="V245" s="207"/>
      <c r="W245" s="207"/>
      <c r="X245" s="206"/>
      <c r="Z245" s="165" t="str">
        <f>IFERROR(__xludf.DUMMYFUNCTION("""COMPUTED_VALUE"""),"Unlocking the Power of Linked Data for Metadata Enrichment")</f>
        <v>Unlocking the Power of Linked Data for Metadata Enrichment</v>
      </c>
      <c r="AA245" s="165" t="str">
        <f>IFERROR(__xludf.DUMMYFUNCTION("""COMPUTED_VALUE"""),"Published")</f>
        <v>Published</v>
      </c>
      <c r="AB245" s="166" t="str">
        <f>IFERROR(__xludf.DUMMYFUNCTION("""COMPUTED_VALUE"""),"https://ieeexplore.ieee.org/document/10285760")</f>
        <v>https://ieeexplore.ieee.org/document/10285760</v>
      </c>
      <c r="AC245" s="166" t="str">
        <f>IFERROR(__xludf.DUMMYFUNCTION("""COMPUTED_VALUE"""),"https://doi.org/10.1109/IC3INA60834.2023.10285760")</f>
        <v>https://doi.org/10.1109/IC3INA60834.2023.10285760</v>
      </c>
    </row>
    <row r="246" ht="15.75" customHeight="1">
      <c r="F246" s="205"/>
      <c r="G246" s="206"/>
      <c r="V246" s="207"/>
      <c r="W246" s="207"/>
      <c r="X246" s="206"/>
      <c r="Z246" s="165" t="str">
        <f>IFERROR(__xludf.DUMMYFUNCTION("""COMPUTED_VALUE"""),"Usability and acceptance of crowd-based early warning of harmful algal blooms")</f>
        <v>Usability and acceptance of crowd-based early warning of harmful algal blooms</v>
      </c>
      <c r="AA246" s="165" t="str">
        <f>IFERROR(__xludf.DUMMYFUNCTION("""COMPUTED_VALUE"""),"Published")</f>
        <v>Published</v>
      </c>
      <c r="AB246" s="166" t="str">
        <f>IFERROR(__xludf.DUMMYFUNCTION("""COMPUTED_VALUE"""),"https://doi.org/10.7717/peerj.14923")</f>
        <v>https://doi.org/10.7717/peerj.14923</v>
      </c>
      <c r="AC246" s="165"/>
    </row>
    <row r="247" ht="15.75" customHeight="1">
      <c r="F247" s="205"/>
      <c r="G247" s="206"/>
      <c r="V247" s="207"/>
      <c r="W247" s="207"/>
      <c r="X247" s="206"/>
      <c r="Z247" s="165" t="str">
        <f>IFERROR(__xludf.DUMMYFUNCTION("""COMPUTED_VALUE"""),"Wastewater Remediation Potential of Diatoms")</f>
        <v>Wastewater Remediation Potential of Diatoms</v>
      </c>
      <c r="AA247" s="165" t="str">
        <f>IFERROR(__xludf.DUMMYFUNCTION("""COMPUTED_VALUE"""),"Published")</f>
        <v>Published</v>
      </c>
      <c r="AB247" s="166" t="str">
        <f>IFERROR(__xludf.DUMMYFUNCTION("""COMPUTED_VALUE"""),"https://doi.org/10.1201/9781003436553-9")</f>
        <v>https://doi.org/10.1201/9781003436553-9</v>
      </c>
      <c r="AC247" s="165"/>
    </row>
    <row r="248" ht="15.75" customHeight="1">
      <c r="F248" s="205"/>
      <c r="G248" s="206"/>
      <c r="V248" s="207"/>
      <c r="W248" s="207"/>
      <c r="X248" s="206"/>
      <c r="Z248" s="165" t="str">
        <f>IFERROR(__xludf.DUMMYFUNCTION("""COMPUTED_VALUE"""),"Dynamical Evolution of New Trans-Neptunian Objects")</f>
        <v>Dynamical Evolution of New Trans-Neptunian Objects</v>
      </c>
      <c r="AA248" s="165" t="str">
        <f>IFERROR(__xludf.DUMMYFUNCTION("""COMPUTED_VALUE"""),"Published")</f>
        <v>Published</v>
      </c>
      <c r="AB248" s="166" t="str">
        <f>IFERROR(__xludf.DUMMYFUNCTION("""COMPUTED_VALUE"""),"https://drive.google.com/file/d/1HV3Jm7qIlHeH-lbk73o4ZQ2Gh8E17MJv/view?usp=sharing")</f>
        <v>https://drive.google.com/file/d/1HV3Jm7qIlHeH-lbk73o4ZQ2Gh8E17MJv/view?usp=sharing</v>
      </c>
      <c r="AC248" s="166" t="str">
        <f>IFERROR(__xludf.DUMMYFUNCTION("""COMPUTED_VALUE"""),"https://doi.org/10.1063/5.0181504")</f>
        <v>https://doi.org/10.1063/5.0181504</v>
      </c>
    </row>
    <row r="249" ht="15.75" customHeight="1">
      <c r="F249" s="205"/>
      <c r="G249" s="206"/>
      <c r="V249" s="207"/>
      <c r="W249" s="207"/>
      <c r="X249" s="206"/>
      <c r="Z249" s="165" t="str">
        <f>IFERROR(__xludf.DUMMYFUNCTION("""COMPUTED_VALUE"""),"Improving Spatial Resolution of Sunspot HMI Images Using Conditional Generative Adversarial Networks")</f>
        <v>Improving Spatial Resolution of Sunspot HMI Images Using Conditional Generative Adversarial Networks</v>
      </c>
      <c r="AA249" s="165" t="str">
        <f>IFERROR(__xludf.DUMMYFUNCTION("""COMPUTED_VALUE"""),"Published")</f>
        <v>Published</v>
      </c>
      <c r="AB249" s="166" t="str">
        <f>IFERROR(__xludf.DUMMYFUNCTION("""COMPUTED_VALUE"""),"https://drive.google.com/file/d/1MjUwRvbMsrtzBWPByu0kGLIWP0dWA6fA/view?usp=sharing")</f>
        <v>https://drive.google.com/file/d/1MjUwRvbMsrtzBWPByu0kGLIWP0dWA6fA/view?usp=sharing</v>
      </c>
      <c r="AC249" s="166" t="str">
        <f>IFERROR(__xludf.DUMMYFUNCTION("""COMPUTED_VALUE"""),"https://doi.org/10.1063/5.0181507")</f>
        <v>https://doi.org/10.1063/5.0181507</v>
      </c>
    </row>
    <row r="250" ht="15.75" customHeight="1">
      <c r="F250" s="205"/>
      <c r="G250" s="206"/>
      <c r="V250" s="207"/>
      <c r="W250" s="207"/>
      <c r="X250" s="206"/>
      <c r="Z250" s="165" t="str">
        <f>IFERROR(__xludf.DUMMYFUNCTION("""COMPUTED_VALUE"""),"Mapping the Sky Brightness in the Neighbouring Areas of Timau National Observatory")</f>
        <v>Mapping the Sky Brightness in the Neighbouring Areas of Timau National Observatory</v>
      </c>
      <c r="AA250" s="165" t="str">
        <f>IFERROR(__xludf.DUMMYFUNCTION("""COMPUTED_VALUE"""),"Published")</f>
        <v>Published</v>
      </c>
      <c r="AB250" s="166" t="str">
        <f>IFERROR(__xludf.DUMMYFUNCTION("""COMPUTED_VALUE"""),"https://drive.google.com/file/d/1EbJNBXeCol5q2q85Ncy8tvtaqNkLfNK-/view?usp=sharing")</f>
        <v>https://drive.google.com/file/d/1EbJNBXeCol5q2q85Ncy8tvtaqNkLfNK-/view?usp=sharing</v>
      </c>
      <c r="AC250" s="166" t="str">
        <f>IFERROR(__xludf.DUMMYFUNCTION("""COMPUTED_VALUE"""),"https://doi.org/10.1063/5.0181460")</f>
        <v>https://doi.org/10.1063/5.0181460</v>
      </c>
    </row>
    <row r="251" ht="15.75" customHeight="1">
      <c r="F251" s="205"/>
      <c r="G251" s="206"/>
      <c r="V251" s="207"/>
      <c r="W251" s="207"/>
      <c r="X251" s="206"/>
      <c r="Z251" s="165" t="str">
        <f>IFERROR(__xludf.DUMMYFUNCTION("""COMPUTED_VALUE"""),"Theoretical Experiments on Road Profile Data Analysis using Filter Combinations")</f>
        <v>Theoretical Experiments on Road Profile Data Analysis using Filter Combinations</v>
      </c>
      <c r="AA251" s="165" t="str">
        <f>IFERROR(__xludf.DUMMYFUNCTION("""COMPUTED_VALUE"""),"Published")</f>
        <v>Published</v>
      </c>
      <c r="AB251" s="166" t="str">
        <f>IFERROR(__xludf.DUMMYFUNCTION("""COMPUTED_VALUE"""),"https://doi.org/10.31603/ae.9901")</f>
        <v>https://doi.org/10.31603/ae.9901</v>
      </c>
      <c r="AC251" s="165"/>
    </row>
    <row r="252" ht="15.75" customHeight="1">
      <c r="F252" s="205"/>
      <c r="G252" s="206"/>
      <c r="V252" s="207"/>
      <c r="W252" s="207"/>
      <c r="X252" s="206"/>
      <c r="Z252" s="165" t="str">
        <f>IFERROR(__xludf.DUMMYFUNCTION("""COMPUTED_VALUE"""),"Two-phase flow model coupled with Hybrid Fictitious Domain-Immersed Boundary
for simulating current-induced pipeline scour")</f>
        <v>Two-phase flow model coupled with Hybrid Fictitious Domain-Immersed Boundary
for simulating current-induced pipeline scour</v>
      </c>
      <c r="AA252" s="165" t="str">
        <f>IFERROR(__xludf.DUMMYFUNCTION("""COMPUTED_VALUE"""),"Published")</f>
        <v>Published</v>
      </c>
      <c r="AB252" s="166" t="str">
        <f>IFERROR(__xludf.DUMMYFUNCTION("""COMPUTED_VALUE"""),"https://www.iahr.org/library/infor?pid=22134")</f>
        <v>https://www.iahr.org/library/infor?pid=22134</v>
      </c>
      <c r="AC252" s="165"/>
    </row>
    <row r="253" ht="15.75" customHeight="1">
      <c r="F253" s="205"/>
      <c r="G253" s="206"/>
      <c r="V253" s="207"/>
      <c r="W253" s="207"/>
      <c r="X253" s="206"/>
      <c r="Z253" s="165" t="str">
        <f>IFERROR(__xludf.DUMMYFUNCTION("""COMPUTED_VALUE"""),"The Potential Use Of The 20-Meter Radio Telescope Planned At The Timau National Observatory")</f>
        <v>The Potential Use Of The 20-Meter Radio Telescope Planned At The Timau National Observatory</v>
      </c>
      <c r="AA253" s="165" t="str">
        <f>IFERROR(__xludf.DUMMYFUNCTION("""COMPUTED_VALUE"""),"Published")</f>
        <v>Published</v>
      </c>
      <c r="AB253" s="166" t="str">
        <f>IFERROR(__xludf.DUMMYFUNCTION("""COMPUTED_VALUE"""),"http://www.astro.ro/~roaj/33_12/00_contents_33_12.pdf")</f>
        <v>http://www.astro.ro/~roaj/33_12/00_contents_33_12.pdf</v>
      </c>
      <c r="AC253" s="166" t="str">
        <f>IFERROR(__xludf.DUMMYFUNCTION("""COMPUTED_VALUE"""),"https://doi.org/10.59277/RoAJ.2023.1-2.04")</f>
        <v>https://doi.org/10.59277/RoAJ.2023.1-2.04</v>
      </c>
    </row>
    <row r="254" ht="15.75" customHeight="1">
      <c r="F254" s="205"/>
      <c r="G254" s="206"/>
      <c r="V254" s="207"/>
      <c r="W254" s="207"/>
      <c r="X254" s="206"/>
      <c r="Z254" s="165" t="str">
        <f>IFERROR(__xludf.DUMMYFUNCTION("""COMPUTED_VALUE"""),"Development Of Artificial Earth Satellite Simulation Software For Future Radio Telescopes In Indonesia")</f>
        <v>Development Of Artificial Earth Satellite Simulation Software For Future Radio Telescopes In Indonesia</v>
      </c>
      <c r="AA254" s="165" t="str">
        <f>IFERROR(__xludf.DUMMYFUNCTION("""COMPUTED_VALUE"""),"Published")</f>
        <v>Published</v>
      </c>
      <c r="AB254" s="166" t="str">
        <f>IFERROR(__xludf.DUMMYFUNCTION("""COMPUTED_VALUE"""),"http://www.astro.ro/~roaj/33_12/00_contents_33_12.pdf")</f>
        <v>http://www.astro.ro/~roaj/33_12/00_contents_33_12.pdf</v>
      </c>
      <c r="AC254" s="166" t="str">
        <f>IFERROR(__xludf.DUMMYFUNCTION("""COMPUTED_VALUE"""),"https://doi.org/10.59277/RoAJ.2023.1-2.01")</f>
        <v>https://doi.org/10.59277/RoAJ.2023.1-2.01</v>
      </c>
    </row>
    <row r="255" ht="15.75" customHeight="1">
      <c r="F255" s="205"/>
      <c r="G255" s="206"/>
      <c r="V255" s="207"/>
      <c r="W255" s="207"/>
      <c r="X255" s="206"/>
      <c r="Z255" s="165" t="str">
        <f>IFERROR(__xludf.DUMMYFUNCTION("""COMPUTED_VALUE"""),"The Production of Microalgae and Cyanobacteria Biomass and Their Valuable Bioproducts.")</f>
        <v>The Production of Microalgae and Cyanobacteria Biomass and Their Valuable Bioproducts.</v>
      </c>
      <c r="AA255" s="165" t="str">
        <f>IFERROR(__xludf.DUMMYFUNCTION("""COMPUTED_VALUE"""),"Accepted")</f>
        <v>Accepted</v>
      </c>
      <c r="AB255" s="165"/>
      <c r="AC255" s="165"/>
    </row>
    <row r="256" ht="15.75" customHeight="1">
      <c r="F256" s="205"/>
      <c r="G256" s="206"/>
      <c r="V256" s="207"/>
      <c r="W256" s="207"/>
      <c r="X256" s="206"/>
      <c r="Z256" s="165" t="str">
        <f>IFERROR(__xludf.DUMMYFUNCTION("""COMPUTED_VALUE"""),"An Overview on Managing Minute Duckweed (Lemmna perpuilla Torr) Cultivation for Fish Feed Porpose")</f>
        <v>An Overview on Managing Minute Duckweed (Lemmna perpuilla Torr) Cultivation for Fish Feed Porpose</v>
      </c>
      <c r="AA256" s="165" t="str">
        <f>IFERROR(__xludf.DUMMYFUNCTION("""COMPUTED_VALUE"""),"Accepted")</f>
        <v>Accepted</v>
      </c>
      <c r="AB256" s="165"/>
      <c r="AC256" s="165"/>
    </row>
    <row r="257" ht="15.75" customHeight="1">
      <c r="F257" s="205"/>
      <c r="G257" s="206"/>
      <c r="V257" s="207"/>
      <c r="W257" s="207"/>
      <c r="X257" s="206"/>
      <c r="Z257" s="165" t="str">
        <f>IFERROR(__xludf.DUMMYFUNCTION("""COMPUTED_VALUE"""),"Assessment of genetic diversity among sago palm (Metroxylon sagu Rottb.) in Bengkulu, Indonesia using SSR molecular markers")</f>
        <v>Assessment of genetic diversity among sago palm (Metroxylon sagu Rottb.) in Bengkulu, Indonesia using SSR molecular markers</v>
      </c>
      <c r="AA257" s="165" t="str">
        <f>IFERROR(__xludf.DUMMYFUNCTION("""COMPUTED_VALUE"""),"Accepted")</f>
        <v>Accepted</v>
      </c>
      <c r="AB257" s="166" t="str">
        <f>IFERROR(__xludf.DUMMYFUNCTION("""COMPUTED_VALUE"""),"https://scialert.net/abstract/?doi=ajps.2022.597.605")</f>
        <v>https://scialert.net/abstract/?doi=ajps.2022.597.605</v>
      </c>
      <c r="AC257" s="165"/>
    </row>
    <row r="258" ht="15.75" customHeight="1">
      <c r="F258" s="205"/>
      <c r="G258" s="206"/>
      <c r="V258" s="207"/>
      <c r="W258" s="207"/>
      <c r="X258" s="206"/>
      <c r="Z258" s="165" t="str">
        <f>IFERROR(__xludf.DUMMYFUNCTION("""COMPUTED_VALUE"""),"Novel Complex of Zinc (II) Dichloroethylenediamine: Synthesis, Characterization, In-silico, and In-vitro Evaluation against Cervical Cancer Cells")</f>
        <v>Novel Complex of Zinc (II) Dichloroethylenediamine: Synthesis, Characterization, In-silico, and In-vitro Evaluation against Cervical Cancer Cells</v>
      </c>
      <c r="AA258" s="165" t="str">
        <f>IFERROR(__xludf.DUMMYFUNCTION("""COMPUTED_VALUE"""),"Accepted")</f>
        <v>Accepted</v>
      </c>
      <c r="AB258" s="166" t="str">
        <f>IFERROR(__xludf.DUMMYFUNCTION("""COMPUTED_VALUE"""),"https://drive.google.com/file/d/1vWNQzfzJAxXyYqmpmcymSQsZC-Po_c8P/view?usp=sharing")</f>
        <v>https://drive.google.com/file/d/1vWNQzfzJAxXyYqmpmcymSQsZC-Po_c8P/view?usp=sharing</v>
      </c>
      <c r="AC258" s="165"/>
    </row>
    <row r="259" ht="15.75" customHeight="1">
      <c r="F259" s="205"/>
      <c r="G259" s="206"/>
      <c r="V259" s="207"/>
      <c r="W259" s="207"/>
      <c r="X259" s="206"/>
      <c r="Z259" s="165" t="str">
        <f>IFERROR(__xludf.DUMMYFUNCTION("""COMPUTED_VALUE"""),"A study for a Radio Telescope in Indonesia: Parabolic design, Simulation of horn antenna and Radio frequency survey in Frequency of 0.045 - 18 GHz")</f>
        <v>A study for a Radio Telescope in Indonesia: Parabolic design, Simulation of horn antenna and Radio frequency survey in Frequency of 0.045 - 18 GHz</v>
      </c>
      <c r="AA259" s="165" t="str">
        <f>IFERROR(__xludf.DUMMYFUNCTION("""COMPUTED_VALUE"""),"Accepted")</f>
        <v>Accepted</v>
      </c>
      <c r="AB259" s="166" t="str">
        <f>IFERROR(__xludf.DUMMYFUNCTION("""COMPUTED_VALUE"""),"https://drive.google.com/file/d/1RBCybgiIca76oF4eTBDFypdMrqREZljm/view?usp=sharing")</f>
        <v>https://drive.google.com/file/d/1RBCybgiIca76oF4eTBDFypdMrqREZljm/view?usp=sharing</v>
      </c>
      <c r="AC259" s="165"/>
    </row>
    <row r="260" ht="15.75" customHeight="1">
      <c r="F260" s="205"/>
      <c r="G260" s="206"/>
      <c r="V260" s="207"/>
      <c r="W260" s="207"/>
      <c r="X260" s="206"/>
      <c r="Z260" s="165" t="str">
        <f>IFERROR(__xludf.DUMMYFUNCTION("""COMPUTED_VALUE"""),"A Support Vector Machine (SVM) for Predicting Breast Cancer Severity")</f>
        <v>A Support Vector Machine (SVM) for Predicting Breast Cancer Severity</v>
      </c>
      <c r="AA260" s="165" t="str">
        <f>IFERROR(__xludf.DUMMYFUNCTION("""COMPUTED_VALUE"""),"Accepted")</f>
        <v>Accepted</v>
      </c>
      <c r="AB260" s="165"/>
      <c r="AC260" s="165"/>
    </row>
    <row r="261" ht="15.75" customHeight="1">
      <c r="F261" s="205"/>
      <c r="G261" s="206"/>
      <c r="V261" s="207"/>
      <c r="W261" s="207"/>
      <c r="X261" s="206"/>
      <c r="Z261" s="165" t="str">
        <f>IFERROR(__xludf.DUMMYFUNCTION("""COMPUTED_VALUE"""),"AdaKBCCL: An Adaptive Knowledge Base for Cancer Cell Lines        ")</f>
        <v>AdaKBCCL: An Adaptive Knowledge Base for Cancer Cell Lines        </v>
      </c>
      <c r="AA261" s="165" t="str">
        <f>IFERROR(__xludf.DUMMYFUNCTION("""COMPUTED_VALUE"""),"Accepted")</f>
        <v>Accepted</v>
      </c>
      <c r="AB261" s="166" t="str">
        <f>IFERROR(__xludf.DUMMYFUNCTION("""COMPUTED_VALUE"""),"https://dtmbiokr.imweb.me/program")</f>
        <v>https://dtmbiokr.imweb.me/program</v>
      </c>
      <c r="AC261" s="165"/>
    </row>
    <row r="262" ht="15.75" customHeight="1">
      <c r="F262" s="205"/>
      <c r="G262" s="206"/>
      <c r="V262" s="207"/>
      <c r="W262" s="207"/>
      <c r="X262" s="206"/>
      <c r="Z262" s="165" t="str">
        <f>IFERROR(__xludf.DUMMYFUNCTION("""COMPUTED_VALUE"""),"AI-Based Paediatric Teledermatology Analysis and Proposed Framework")</f>
        <v>AI-Based Paediatric Teledermatology Analysis and Proposed Framework</v>
      </c>
      <c r="AA262" s="165" t="str">
        <f>IFERROR(__xludf.DUMMYFUNCTION("""COMPUTED_VALUE"""),"Accepted")</f>
        <v>Accepted</v>
      </c>
      <c r="AB262" s="165"/>
      <c r="AC262" s="165"/>
    </row>
    <row r="263" ht="15.75" customHeight="1">
      <c r="F263" s="205"/>
      <c r="G263" s="206"/>
      <c r="V263" s="207"/>
      <c r="W263" s="207"/>
      <c r="X263" s="206"/>
      <c r="Z263" s="165" t="str">
        <f>IFERROR(__xludf.DUMMYFUNCTION("""COMPUTED_VALUE"""),"Analysis of Image Segmentation Method for Skin's Lesions Identification")</f>
        <v>Analysis of Image Segmentation Method for Skin's Lesions Identification</v>
      </c>
      <c r="AA263" s="165" t="str">
        <f>IFERROR(__xludf.DUMMYFUNCTION("""COMPUTED_VALUE"""),"Accepted")</f>
        <v>Accepted</v>
      </c>
      <c r="AB263" s="166" t="str">
        <f>IFERROR(__xludf.DUMMYFUNCTION("""COMPUTED_VALUE"""),"https://drive.google.com/file/d/1jyLD5MfFmaJCqbbeSNNMuqaxFwOBiJOd/view?usp=sharing")</f>
        <v>https://drive.google.com/file/d/1jyLD5MfFmaJCqbbeSNNMuqaxFwOBiJOd/view?usp=sharing</v>
      </c>
      <c r="AC263" s="165"/>
    </row>
    <row r="264" ht="15.75" customHeight="1">
      <c r="F264" s="205"/>
      <c r="G264" s="206"/>
      <c r="V264" s="207"/>
      <c r="W264" s="207"/>
      <c r="X264" s="206"/>
      <c r="Z264" s="165" t="str">
        <f>IFERROR(__xludf.DUMMYFUNCTION("""COMPUTED_VALUE"""),"Characterization and Antiproliferative Activity Evaluation of Zinc (II) Dichloroethylenediamine Complex: Modeling, Synthesis, Spectroscopic, Molecular Docking, Molecular Dynamics, ADMET, and In-Vitro Testing on Cervical Cancer Cells")</f>
        <v>Characterization and Antiproliferative Activity Evaluation of Zinc (II) Dichloroethylenediamine Complex: Modeling, Synthesis, Spectroscopic, Molecular Docking, Molecular Dynamics, ADMET, and In-Vitro Testing on Cervical Cancer Cells</v>
      </c>
      <c r="AA264" s="165" t="str">
        <f>IFERROR(__xludf.DUMMYFUNCTION("""COMPUTED_VALUE"""),"Accepted")</f>
        <v>Accepted</v>
      </c>
      <c r="AB264" s="165"/>
      <c r="AC264" s="165"/>
    </row>
    <row r="265" ht="15.75" customHeight="1">
      <c r="F265" s="205"/>
      <c r="G265" s="206"/>
      <c r="V265" s="207"/>
      <c r="W265" s="207"/>
      <c r="X265" s="206"/>
      <c r="Z265" s="165" t="str">
        <f>IFERROR(__xludf.DUMMYFUNCTION("""COMPUTED_VALUE"""),"Clinical Protocol Design, Data Management, and Analysis Model for Epidermolysis bullosa (EB) Biomedical Data Acquisitions Towards Precision Medicine of Indonesian Patients")</f>
        <v>Clinical Protocol Design, Data Management, and Analysis Model for Epidermolysis bullosa (EB) Biomedical Data Acquisitions Towards Precision Medicine of Indonesian Patients</v>
      </c>
      <c r="AA265" s="165" t="str">
        <f>IFERROR(__xludf.DUMMYFUNCTION("""COMPUTED_VALUE"""),"Accepted")</f>
        <v>Accepted</v>
      </c>
      <c r="AB265" s="166" t="str">
        <f>IFERROR(__xludf.DUMMYFUNCTION("""COMPUTED_VALUE"""),"https://drive.google.com/file/d/1oJ-dURZBtkNkiwvsWlmKfGbLWsw3w5Pb/view?usp=sharing")</f>
        <v>https://drive.google.com/file/d/1oJ-dURZBtkNkiwvsWlmKfGbLWsw3w5Pb/view?usp=sharing</v>
      </c>
      <c r="AC265" s="165"/>
    </row>
    <row r="266" ht="15.75" customHeight="1">
      <c r="F266" s="205"/>
      <c r="G266" s="206"/>
      <c r="V266" s="207"/>
      <c r="W266" s="207"/>
      <c r="X266" s="206"/>
      <c r="Z266" s="165" t="str">
        <f>IFERROR(__xludf.DUMMYFUNCTION("""COMPUTED_VALUE"""),"Comparative Analysis of Lithocarpus Chloroplast Genomes Reveals Candidate DNA Barcoding Loci")</f>
        <v>Comparative Analysis of Lithocarpus Chloroplast Genomes Reveals Candidate DNA Barcoding Loci</v>
      </c>
      <c r="AA266" s="165" t="str">
        <f>IFERROR(__xludf.DUMMYFUNCTION("""COMPUTED_VALUE"""),"Accepted")</f>
        <v>Accepted</v>
      </c>
      <c r="AB266" s="166" t="str">
        <f>IFERROR(__xludf.DUMMYFUNCTION("""COMPUTED_VALUE"""),"https://drive.google.com/file/d/117hYZ2Xoe-4t2eEyDJzTSozp07CAsLfM/view?usp=sharing")</f>
        <v>https://drive.google.com/file/d/117hYZ2Xoe-4t2eEyDJzTSozp07CAsLfM/view?usp=sharing</v>
      </c>
      <c r="AC266" s="165"/>
    </row>
    <row r="267" ht="15.75" customHeight="1">
      <c r="F267" s="205"/>
      <c r="G267" s="206"/>
      <c r="V267" s="207"/>
      <c r="W267" s="207"/>
      <c r="X267" s="206"/>
      <c r="Z267" s="165" t="str">
        <f>IFERROR(__xludf.DUMMYFUNCTION("""COMPUTED_VALUE"""),"Data Analyzes and Conversion of Patient's Respiratory FMCW Radar to the Internet of Things")</f>
        <v>Data Analyzes and Conversion of Patient's Respiratory FMCW Radar to the Internet of Things</v>
      </c>
      <c r="AA267" s="165" t="str">
        <f>IFERROR(__xludf.DUMMYFUNCTION("""COMPUTED_VALUE"""),"Accepted")</f>
        <v>Accepted</v>
      </c>
      <c r="AB267" s="165"/>
      <c r="AC267" s="165"/>
    </row>
    <row r="268" ht="15.75" customHeight="1">
      <c r="F268" s="205"/>
      <c r="G268" s="206"/>
      <c r="V268" s="207"/>
      <c r="W268" s="207"/>
      <c r="X268" s="206"/>
      <c r="Z268" s="165" t="str">
        <f>IFERROR(__xludf.DUMMYFUNCTION("""COMPUTED_VALUE"""),"Design and Analysis of Floater Structures Using Composite Material in 19 seaters Aircraft")</f>
        <v>Design and Analysis of Floater Structures Using Composite Material in 19 seaters Aircraft</v>
      </c>
      <c r="AA268" s="165" t="str">
        <f>IFERROR(__xludf.DUMMYFUNCTION("""COMPUTED_VALUE"""),"Accepted")</f>
        <v>Accepted</v>
      </c>
      <c r="AB268" s="166" t="str">
        <f>IFERROR(__xludf.DUMMYFUNCTION("""COMPUTED_VALUE"""),"https://drive.google.com/file/d/1lVIrmwuSnGF5hgU10IOJ7sMsZWMrWbrq/view?usp=drive_link")</f>
        <v>https://drive.google.com/file/d/1lVIrmwuSnGF5hgU10IOJ7sMsZWMrWbrq/view?usp=drive_link</v>
      </c>
      <c r="AC268" s="165"/>
    </row>
    <row r="269" ht="15.75" customHeight="1">
      <c r="F269" s="205"/>
      <c r="G269" s="206"/>
      <c r="V269" s="207"/>
      <c r="W269" s="207"/>
      <c r="X269" s="206"/>
      <c r="Z269" s="165" t="str">
        <f>IFERROR(__xludf.DUMMYFUNCTION("""COMPUTED_VALUE"""),"Development of a Flood Hazard Mapping Model using Random Forest in Sumedang Regency, West Java, Indonesia")</f>
        <v>Development of a Flood Hazard Mapping Model using Random Forest in Sumedang Regency, West Java, Indonesia</v>
      </c>
      <c r="AA269" s="165" t="str">
        <f>IFERROR(__xludf.DUMMYFUNCTION("""COMPUTED_VALUE"""),"Accepted")</f>
        <v>Accepted</v>
      </c>
      <c r="AB269" s="166" t="str">
        <f>IFERROR(__xludf.DUMMYFUNCTION("""COMPUTED_VALUE"""),"https://drive.google.com/file/d/1VbIvuzALLwM_-By3dcMklbez08ZawijK/view?usp=sharing")</f>
        <v>https://drive.google.com/file/d/1VbIvuzALLwM_-By3dcMklbez08ZawijK/view?usp=sharing</v>
      </c>
      <c r="AC269" s="165"/>
    </row>
    <row r="270" ht="15.75" customHeight="1">
      <c r="F270" s="205"/>
      <c r="G270" s="206"/>
      <c r="V270" s="207"/>
      <c r="W270" s="207"/>
      <c r="X270" s="206"/>
      <c r="Z270" s="165" t="str">
        <f>IFERROR(__xludf.DUMMYFUNCTION("""COMPUTED_VALUE"""),"Features Extraction Methods for Improving Classification of High Dimensional Data: A Review and Comparative Case Study")</f>
        <v>Features Extraction Methods for Improving Classification of High Dimensional Data: A Review and Comparative Case Study</v>
      </c>
      <c r="AA270" s="165" t="str">
        <f>IFERROR(__xludf.DUMMYFUNCTION("""COMPUTED_VALUE"""),"Accepted")</f>
        <v>Accepted</v>
      </c>
      <c r="AB270" s="165"/>
      <c r="AC270" s="165"/>
    </row>
    <row r="271" ht="15.75" customHeight="1">
      <c r="F271" s="205"/>
      <c r="G271" s="206"/>
      <c r="V271" s="207"/>
      <c r="W271" s="207"/>
      <c r="X271" s="206"/>
      <c r="Z271" s="165" t="str">
        <f>IFERROR(__xludf.DUMMYFUNCTION("""COMPUTED_VALUE"""),"Green Extraction of Valuable Compounds from Rubber Seed Trees: A Path
to Sustainability")</f>
        <v>Green Extraction of Valuable Compounds from Rubber Seed Trees: A Path
to Sustainability</v>
      </c>
      <c r="AA271" s="165" t="str">
        <f>IFERROR(__xludf.DUMMYFUNCTION("""COMPUTED_VALUE"""),"Accepted")</f>
        <v>Accepted</v>
      </c>
      <c r="AB271" s="166" t="str">
        <f>IFERROR(__xludf.DUMMYFUNCTION("""COMPUTED_VALUE"""),"https://drive.google.com/file/d/1SVqTBfG932WNJKEAmGlUlaw531YaAmug/view?usp=sharing")</f>
        <v>https://drive.google.com/file/d/1SVqTBfG932WNJKEAmGlUlaw531YaAmug/view?usp=sharing</v>
      </c>
      <c r="AC271" s="165"/>
    </row>
    <row r="272" ht="15.75" customHeight="1">
      <c r="F272" s="205"/>
      <c r="G272" s="206"/>
      <c r="V272" s="207"/>
      <c r="W272" s="207"/>
      <c r="X272" s="206"/>
      <c r="Z272" s="165" t="str">
        <f>IFERROR(__xludf.DUMMYFUNCTION("""COMPUTED_VALUE"""),"Identification of Drought Stress Genes Expressed in Jatropha curcas by Using RNA Sequencing")</f>
        <v>Identification of Drought Stress Genes Expressed in Jatropha curcas by Using RNA Sequencing</v>
      </c>
      <c r="AA272" s="165" t="str">
        <f>IFERROR(__xludf.DUMMYFUNCTION("""COMPUTED_VALUE"""),"Accepted")</f>
        <v>Accepted</v>
      </c>
      <c r="AB272" s="165"/>
      <c r="AC272" s="165"/>
    </row>
    <row r="273" ht="15.75" customHeight="1">
      <c r="F273" s="205"/>
      <c r="G273" s="206"/>
      <c r="V273" s="207"/>
      <c r="W273" s="207"/>
      <c r="X273" s="206"/>
      <c r="Z273" s="165" t="str">
        <f>IFERROR(__xludf.DUMMYFUNCTION("""COMPUTED_VALUE"""),"Implementation of Allan Standard Deviation Technique in Stability Analysis of 4C31.61 Quasar Position")</f>
        <v>Implementation of Allan Standard Deviation Technique in Stability Analysis of 4C31.61 Quasar Position</v>
      </c>
      <c r="AA273" s="165" t="str">
        <f>IFERROR(__xludf.DUMMYFUNCTION("""COMPUTED_VALUE"""),"Accepted")</f>
        <v>Accepted</v>
      </c>
      <c r="AB273" s="166" t="str">
        <f>IFERROR(__xludf.DUMMYFUNCTION("""COMPUTED_VALUE"""),"https://drive.google.com/file/d/1R3BiWEKtFU9M8vGkCUzrHXURrLuEil1y/view?usp=sharing")</f>
        <v>https://drive.google.com/file/d/1R3BiWEKtFU9M8vGkCUzrHXURrLuEil1y/view?usp=sharing</v>
      </c>
      <c r="AC273" s="165"/>
    </row>
    <row r="274" ht="15.75" customHeight="1">
      <c r="F274" s="205"/>
      <c r="G274" s="206"/>
      <c r="V274" s="207"/>
      <c r="W274" s="207"/>
      <c r="X274" s="206"/>
      <c r="Z274" s="165" t="str">
        <f>IFERROR(__xludf.DUMMYFUNCTION("""COMPUTED_VALUE"""),"Integrative genomics and bioinformatics to drive drug repurposing for prostate cancer")</f>
        <v>Integrative genomics and bioinformatics to drive drug repurposing for prostate cancer</v>
      </c>
      <c r="AA274" s="165" t="str">
        <f>IFERROR(__xludf.DUMMYFUNCTION("""COMPUTED_VALUE"""),"Accepted")</f>
        <v>Accepted</v>
      </c>
      <c r="AB274" s="166" t="str">
        <f>IFERROR(__xludf.DUMMYFUNCTION("""COMPUTED_VALUE"""),"https://drive.google.com/file/d/1KjyYDtgUg-xtkr5tVpS1tJr6wA2rhfUK/view?usp=sharing")</f>
        <v>https://drive.google.com/file/d/1KjyYDtgUg-xtkr5tVpS1tJr6wA2rhfUK/view?usp=sharing</v>
      </c>
      <c r="AC274" s="165"/>
    </row>
    <row r="275" ht="15.75" customHeight="1">
      <c r="F275" s="205"/>
      <c r="G275" s="206"/>
      <c r="V275" s="207"/>
      <c r="W275" s="207"/>
      <c r="X275" s="206"/>
      <c r="Z275" s="165" t="str">
        <f>IFERROR(__xludf.DUMMYFUNCTION("""COMPUTED_VALUE"""),"Many-to-many Image Registration for Tiled Multitemporal Remote Sensing Image Data")</f>
        <v>Many-to-many Image Registration for Tiled Multitemporal Remote Sensing Image Data</v>
      </c>
      <c r="AA275" s="165" t="str">
        <f>IFERROR(__xludf.DUMMYFUNCTION("""COMPUTED_VALUE"""),"Accepted")</f>
        <v>Accepted</v>
      </c>
      <c r="AB275" s="165"/>
      <c r="AC275" s="165"/>
    </row>
    <row r="276" ht="15.75" customHeight="1">
      <c r="F276" s="205"/>
      <c r="G276" s="206"/>
      <c r="V276" s="207"/>
      <c r="W276" s="207"/>
      <c r="X276" s="206"/>
      <c r="Z276" s="165" t="str">
        <f>IFERROR(__xludf.DUMMYFUNCTION("""COMPUTED_VALUE"""),"Model of Close Orbit Dynamics Around Asteroid (338) Budrosa")</f>
        <v>Model of Close Orbit Dynamics Around Asteroid (338) Budrosa</v>
      </c>
      <c r="AA276" s="165" t="str">
        <f>IFERROR(__xludf.DUMMYFUNCTION("""COMPUTED_VALUE"""),"Accepted")</f>
        <v>Accepted</v>
      </c>
      <c r="AB276" s="166" t="str">
        <f>IFERROR(__xludf.DUMMYFUNCTION("""COMPUTED_VALUE"""),"https://drive.google.com/file/d/1ozxokB56xV9PjyOCpSjglan6MMRcZO0q/view?usp=sharing")</f>
        <v>https://drive.google.com/file/d/1ozxokB56xV9PjyOCpSjglan6MMRcZO0q/view?usp=sharing</v>
      </c>
      <c r="AC276" s="165"/>
    </row>
    <row r="277" ht="15.75" customHeight="1">
      <c r="F277" s="205"/>
      <c r="G277" s="206"/>
      <c r="V277" s="207"/>
      <c r="W277" s="207"/>
      <c r="X277" s="206"/>
      <c r="Z277" s="165" t="str">
        <f>IFERROR(__xludf.DUMMYFUNCTION("""COMPUTED_VALUE"""),"NoSQL Performance Comparison for Tiled Remote Sensing Data Management")</f>
        <v>NoSQL Performance Comparison for Tiled Remote Sensing Data Management</v>
      </c>
      <c r="AA277" s="165" t="str">
        <f>IFERROR(__xludf.DUMMYFUNCTION("""COMPUTED_VALUE"""),"Accepted")</f>
        <v>Accepted</v>
      </c>
      <c r="AB277" s="165"/>
      <c r="AC277" s="165"/>
    </row>
    <row r="278" ht="15.75" customHeight="1">
      <c r="F278" s="205"/>
      <c r="G278" s="206"/>
      <c r="V278" s="207"/>
      <c r="W278" s="207"/>
      <c r="X278" s="206"/>
      <c r="Z278" s="165" t="str">
        <f>IFERROR(__xludf.DUMMYFUNCTION("""COMPUTED_VALUE"""),"Numerical Analysis of Shoreline Changes along the Coast Batu Hiu-Bojong
Salawe, Pangandaran Regency, West Java Province, Indonesia")</f>
        <v>Numerical Analysis of Shoreline Changes along the Coast Batu Hiu-Bojong
Salawe, Pangandaran Regency, West Java Province, Indonesia</v>
      </c>
      <c r="AA278" s="165" t="str">
        <f>IFERROR(__xludf.DUMMYFUNCTION("""COMPUTED_VALUE"""),"Accepted")</f>
        <v>Accepted</v>
      </c>
      <c r="AB278" s="166" t="str">
        <f>IFERROR(__xludf.DUMMYFUNCTION("""COMPUTED_VALUE"""),"https://drive.google.com/file/d/1zvJUCjK8T7qV5mFXTkwCQpJ9cqK7WTTA/view?usp=sharing
https://docs.google.com/document/d/1xaFrFrO_a8mAN-PJgh6YYdCx2FOjhLfY/edit?usp=sharing&amp;ouid=110677698532011527488&amp;rtpof=true&amp;sd=true ")</f>
        <v>https://drive.google.com/file/d/1zvJUCjK8T7qV5mFXTkwCQpJ9cqK7WTTA/view?usp=sharing
https://docs.google.com/document/d/1xaFrFrO_a8mAN-PJgh6YYdCx2FOjhLfY/edit?usp=sharing&amp;ouid=110677698532011527488&amp;rtpof=true&amp;sd=true </v>
      </c>
      <c r="AC278" s="165"/>
    </row>
    <row r="279" ht="15.75" customHeight="1">
      <c r="F279" s="205"/>
      <c r="G279" s="206"/>
      <c r="V279" s="207"/>
      <c r="W279" s="207"/>
      <c r="X279" s="206"/>
      <c r="Z279" s="165" t="str">
        <f>IFERROR(__xludf.DUMMYFUNCTION("""COMPUTED_VALUE"""),"Pipeline Scour and Sedimentation Analysis with an Open-Source Multiphase-CFD Model")</f>
        <v>Pipeline Scour and Sedimentation Analysis with an Open-Source Multiphase-CFD Model</v>
      </c>
      <c r="AA279" s="165" t="str">
        <f>IFERROR(__xludf.DUMMYFUNCTION("""COMPUTED_VALUE"""),"Accepted")</f>
        <v>Accepted</v>
      </c>
      <c r="AB279" s="166" t="str">
        <f>IFERROR(__xludf.DUMMYFUNCTION("""COMPUTED_VALUE"""),"https://docs.google.com/document/d/1shQ86I5gdwygECXx3rFto_MYq1OYWVYn/edit#heading=h.gjdgxs
https://docs.google.com/document/d/1ZCEk3mYmutzBGfjcXvLmmKkhdbO9paSG/edit?usp=sharing&amp;ouid=110677698532011527488&amp;rtpof=true&amp;sd=true ")</f>
        <v>https://docs.google.com/document/d/1shQ86I5gdwygECXx3rFto_MYq1OYWVYn/edit#heading=h.gjdgxs
https://docs.google.com/document/d/1ZCEk3mYmutzBGfjcXvLmmKkhdbO9paSG/edit?usp=sharing&amp;ouid=110677698532011527488&amp;rtpof=true&amp;sd=true </v>
      </c>
      <c r="AC279" s="165"/>
    </row>
    <row r="280" ht="15.75" customHeight="1">
      <c r="F280" s="205"/>
      <c r="G280" s="206"/>
      <c r="V280" s="207"/>
      <c r="W280" s="207"/>
      <c r="X280" s="206"/>
      <c r="Z280" s="165" t="str">
        <f>IFERROR(__xludf.DUMMYFUNCTION("""COMPUTED_VALUE"""),"Preliminary evaluation towards an efficient multiphase flow model for impulsive waves generation by a sub-aerial landslide")</f>
        <v>Preliminary evaluation towards an efficient multiphase flow model for impulsive waves generation by a sub-aerial landslide</v>
      </c>
      <c r="AA280" s="165" t="str">
        <f>IFERROR(__xludf.DUMMYFUNCTION("""COMPUTED_VALUE"""),"Accepted")</f>
        <v>Accepted</v>
      </c>
      <c r="AB280" s="166" t="str">
        <f>IFERROR(__xludf.DUMMYFUNCTION("""COMPUTED_VALUE"""),"https://drive.google.com/file/d/1QmeIen310ihS2Wxs7FnvDCpfwwWBYD2i/view?usp=sharing")</f>
        <v>https://drive.google.com/file/d/1QmeIen310ihS2Wxs7FnvDCpfwwWBYD2i/view?usp=sharing</v>
      </c>
      <c r="AC280" s="165"/>
    </row>
    <row r="281" ht="15.75" customHeight="1">
      <c r="F281" s="205"/>
      <c r="G281" s="206"/>
      <c r="V281" s="207"/>
      <c r="W281" s="207"/>
      <c r="X281" s="206"/>
      <c r="Z281" s="165" t="str">
        <f>IFERROR(__xludf.DUMMYFUNCTION("""COMPUTED_VALUE"""),"Simple Hack for Transformers against Heavy Long-Text Classification on a Time- and Memory-Limited GPU Service")</f>
        <v>Simple Hack for Transformers against Heavy Long-Text Classification on a Time- and Memory-Limited GPU Service</v>
      </c>
      <c r="AA281" s="165" t="str">
        <f>IFERROR(__xludf.DUMMYFUNCTION("""COMPUTED_VALUE"""),"Accepted")</f>
        <v>Accepted</v>
      </c>
      <c r="AB281" s="166" t="str">
        <f>IFERROR(__xludf.DUMMYFUNCTION("""COMPUTED_VALUE"""),"https://drive.google.com/file/d/1DDoWHhUze6KXc9RoeONuXmUSUA3-sJSE/view?usp=drive_link")</f>
        <v>https://drive.google.com/file/d/1DDoWHhUze6KXc9RoeONuXmUSUA3-sJSE/view?usp=drive_link</v>
      </c>
      <c r="AC281" s="165"/>
    </row>
    <row r="282" ht="15.75" customHeight="1">
      <c r="F282" s="205"/>
      <c r="G282" s="206"/>
      <c r="V282" s="207"/>
      <c r="W282" s="207"/>
      <c r="X282" s="206"/>
      <c r="Z282" s="165" t="str">
        <f>IFERROR(__xludf.DUMMYFUNCTION("""COMPUTED_VALUE"""),"Stability Analysis of Modified Circular Restricted Three Body Problem by Lyapunov Exponent Indicators")</f>
        <v>Stability Analysis of Modified Circular Restricted Three Body Problem by Lyapunov Exponent Indicators</v>
      </c>
      <c r="AA282" s="165" t="str">
        <f>IFERROR(__xludf.DUMMYFUNCTION("""COMPUTED_VALUE"""),"Accepted")</f>
        <v>Accepted</v>
      </c>
      <c r="AB282" s="166" t="str">
        <f>IFERROR(__xludf.DUMMYFUNCTION("""COMPUTED_VALUE"""),"https://drive.google.com/file/d/1IXLGt70mygH9TQis-tQsoI96gQBTEezh/view?usp=sharing")</f>
        <v>https://drive.google.com/file/d/1IXLGt70mygH9TQis-tQsoI96gQBTEezh/view?usp=sharing</v>
      </c>
      <c r="AC282" s="165"/>
    </row>
    <row r="283" ht="15.75" customHeight="1">
      <c r="F283" s="205"/>
      <c r="G283" s="206"/>
      <c r="V283" s="207"/>
      <c r="W283" s="207"/>
      <c r="X283" s="206"/>
      <c r="Z283" s="165" t="str">
        <f>IFERROR(__xludf.DUMMYFUNCTION("""COMPUTED_VALUE"""),"Study of Asia-Pacific Plate Tectonic Motion by Using VLBI Observation")</f>
        <v>Study of Asia-Pacific Plate Tectonic Motion by Using VLBI Observation</v>
      </c>
      <c r="AA283" s="165" t="str">
        <f>IFERROR(__xludf.DUMMYFUNCTION("""COMPUTED_VALUE"""),"Accepted")</f>
        <v>Accepted</v>
      </c>
      <c r="AB283" s="166" t="str">
        <f>IFERROR(__xludf.DUMMYFUNCTION("""COMPUTED_VALUE"""),"https://drive.google.com/file/d/1I4PiFLEGq_gQLIo1dWi_ACQIFvtJnF1g/view?usp=sharing")</f>
        <v>https://drive.google.com/file/d/1I4PiFLEGq_gQLIo1dWi_ACQIFvtJnF1g/view?usp=sharing</v>
      </c>
      <c r="AC283" s="165"/>
    </row>
    <row r="284" ht="15.75" customHeight="1">
      <c r="F284" s="205"/>
      <c r="G284" s="206"/>
      <c r="V284" s="207"/>
      <c r="W284" s="207"/>
      <c r="X284" s="206"/>
      <c r="Z284" s="165" t="str">
        <f>IFERROR(__xludf.DUMMYFUNCTION("""COMPUTED_VALUE"""),"study of optimal conditions to increase the efficiency of extraction of polyphenolic content from eleutherine bulbosa mill by citic acid -glyserol-based nades in microwave assisted extraction")</f>
        <v>study of optimal conditions to increase the efficiency of extraction of polyphenolic content from eleutherine bulbosa mill by citic acid -glyserol-based nades in microwave assisted extraction</v>
      </c>
      <c r="AA284" s="165" t="str">
        <f>IFERROR(__xludf.DUMMYFUNCTION("""COMPUTED_VALUE"""),"Accepted")</f>
        <v>Accepted</v>
      </c>
      <c r="AB284" s="166" t="str">
        <f>IFERROR(__xludf.DUMMYFUNCTION("""COMPUTED_VALUE"""),"https://drive.google.com/file/d/1YPdA_bZMOLKX0lsztCvP2v_CgxO8fYfM/view?usp=sharing")</f>
        <v>https://drive.google.com/file/d/1YPdA_bZMOLKX0lsztCvP2v_CgxO8fYfM/view?usp=sharing</v>
      </c>
      <c r="AC284" s="165"/>
    </row>
    <row r="285" ht="15.75" customHeight="1">
      <c r="F285" s="205"/>
      <c r="G285" s="206"/>
      <c r="V285" s="207"/>
      <c r="W285" s="207"/>
      <c r="X285" s="206"/>
      <c r="Z285" s="165" t="str">
        <f>IFERROR(__xludf.DUMMYFUNCTION("""COMPUTED_VALUE"""),"Supercritical Carbon Dioxide Extraction of Citronella Oil Review: Process Optimization, Product Quality, and Applications")</f>
        <v>Supercritical Carbon Dioxide Extraction of Citronella Oil Review: Process Optimization, Product Quality, and Applications</v>
      </c>
      <c r="AA285" s="165" t="str">
        <f>IFERROR(__xludf.DUMMYFUNCTION("""COMPUTED_VALUE"""),"Accepted")</f>
        <v>Accepted</v>
      </c>
      <c r="AB285" s="166" t="str">
        <f>IFERROR(__xludf.DUMMYFUNCTION("""COMPUTED_VALUE"""),"https://drive.google.com/file/d/1W58nRGa5OtbJvYSq-4qFqxLQXW0pc19e/view?usp=sharing")</f>
        <v>https://drive.google.com/file/d/1W58nRGa5OtbJvYSq-4qFqxLQXW0pc19e/view?usp=sharing</v>
      </c>
      <c r="AC285" s="165"/>
    </row>
    <row r="286" ht="15.75" customHeight="1">
      <c r="F286" s="205"/>
      <c r="G286" s="206"/>
      <c r="V286" s="207"/>
      <c r="W286" s="207"/>
      <c r="X286" s="206"/>
      <c r="Z286" s="165" t="str">
        <f>IFERROR(__xludf.DUMMYFUNCTION("""COMPUTED_VALUE"""),"A Genomic and Bioinformatic-based Approach to Identify Genetic Variants for Liver Cancer across Multiple Continents")</f>
        <v>A Genomic and Bioinformatic-based Approach to Identify Genetic Variants for Liver Cancer across Multiple Continents</v>
      </c>
      <c r="AA286" s="165" t="str">
        <f>IFERROR(__xludf.DUMMYFUNCTION("""COMPUTED_VALUE"""),"Accepted")</f>
        <v>Accepted</v>
      </c>
      <c r="AB286" s="166" t="str">
        <f>IFERROR(__xludf.DUMMYFUNCTION("""COMPUTED_VALUE"""),"https://drive.google.com/file/d/1Pbyq1hMrmPgj2KhIIMUw15DGblVUH75t/view?usp=sharing")</f>
        <v>https://drive.google.com/file/d/1Pbyq1hMrmPgj2KhIIMUw15DGblVUH75t/view?usp=sharing</v>
      </c>
      <c r="AC286" s="165"/>
    </row>
    <row r="287" ht="15.75" customHeight="1">
      <c r="F287" s="205"/>
      <c r="G287" s="206"/>
      <c r="V287" s="207"/>
      <c r="W287" s="207"/>
      <c r="X287" s="206"/>
      <c r="Z287" s="165" t="str">
        <f>IFERROR(__xludf.DUMMYFUNCTION("""COMPUTED_VALUE"""),"Towards Indonesian GenBank: A Framework for Repository and Discovery for Nucleotide Sequences in Indonesia")</f>
        <v>Towards Indonesian GenBank: A Framework for Repository and Discovery for Nucleotide Sequences in Indonesia</v>
      </c>
      <c r="AA287" s="165" t="str">
        <f>IFERROR(__xludf.DUMMYFUNCTION("""COMPUTED_VALUE"""),"Accepted")</f>
        <v>Accepted</v>
      </c>
      <c r="AB287" s="165"/>
      <c r="AC287" s="165"/>
    </row>
    <row r="288" ht="15.75" customHeight="1">
      <c r="F288" s="205"/>
      <c r="G288" s="206"/>
      <c r="V288" s="207"/>
      <c r="W288" s="207"/>
      <c r="X288" s="206"/>
      <c r="Z288" s="165" t="str">
        <f>IFERROR(__xludf.DUMMYFUNCTION("""COMPUTED_VALUE"""),"24 GHz FMCW Radar for Non-Contact Respiratory Detection")</f>
        <v>24 GHz FMCW Radar for Non-Contact Respiratory Detection</v>
      </c>
      <c r="AA288" s="165" t="str">
        <f>IFERROR(__xludf.DUMMYFUNCTION("""COMPUTED_VALUE"""),"Published")</f>
        <v>Published</v>
      </c>
      <c r="AB288" s="166" t="str">
        <f>IFERROR(__xludf.DUMMYFUNCTION("""COMPUTED_VALUE"""),"https://doi.org/10.1109/ICITISEE57756.2022.10057704")</f>
        <v>https://doi.org/10.1109/ICITISEE57756.2022.10057704</v>
      </c>
      <c r="AC288" s="165"/>
    </row>
    <row r="289" ht="15.75" customHeight="1">
      <c r="F289" s="205"/>
      <c r="G289" s="206"/>
      <c r="V289" s="207"/>
      <c r="W289" s="207"/>
      <c r="X289" s="206"/>
      <c r="Z289" s="165" t="str">
        <f>IFERROR(__xludf.DUMMYFUNCTION("""COMPUTED_VALUE"""),"A Generalization of Sigmoid Loss Function Using Tsallis Statistics for Binary Classification")</f>
        <v>A Generalization of Sigmoid Loss Function Using Tsallis Statistics for Binary Classification</v>
      </c>
      <c r="AA289" s="165" t="str">
        <f>IFERROR(__xludf.DUMMYFUNCTION("""COMPUTED_VALUE"""),"Published")</f>
        <v>Published</v>
      </c>
      <c r="AB289" s="165" t="str">
        <f>IFERROR(__xludf.DUMMYFUNCTION("""COMPUTED_VALUE"""),"10.1007/s11063-022-11087-y")</f>
        <v>10.1007/s11063-022-11087-y</v>
      </c>
      <c r="AC289" s="166" t="str">
        <f>IFERROR(__xludf.DUMMYFUNCTION("""COMPUTED_VALUE"""),"https://doi.org/10.1007/s11063-022-11087-y")</f>
        <v>https://doi.org/10.1007/s11063-022-11087-y</v>
      </c>
    </row>
    <row r="290" ht="15.75" customHeight="1">
      <c r="F290" s="205"/>
      <c r="G290" s="206"/>
      <c r="V290" s="207"/>
      <c r="W290" s="207"/>
      <c r="X290" s="206"/>
      <c r="Z290" s="165" t="str">
        <f>IFERROR(__xludf.DUMMYFUNCTION("""COMPUTED_VALUE"""),"A New Approach For A Tsunami Early Warning System Based On Maritime Wireless Communication, Case Study, Pangandaran, Indonesia")</f>
        <v>A New Approach For A Tsunami Early Warning System Based On Maritime Wireless Communication, Case Study, Pangandaran, Indonesia</v>
      </c>
      <c r="AA290" s="165" t="str">
        <f>IFERROR(__xludf.DUMMYFUNCTION("""COMPUTED_VALUE"""),"Published")</f>
        <v>Published</v>
      </c>
      <c r="AB290" s="166" t="str">
        <f>IFERROR(__xludf.DUMMYFUNCTION("""COMPUTED_VALUE"""),"https://doi.org/10.6180/jase.202404_27(04).0007")</f>
        <v>https://doi.org/10.6180/jase.202404_27(04).0007</v>
      </c>
      <c r="AC290" s="166" t="str">
        <f>IFERROR(__xludf.DUMMYFUNCTION("""COMPUTED_VALUE"""),"https://drive.google.com/open?id=1o-ylmWFIPJNX7rhbC86iincD2Ai1SgEY")</f>
        <v>https://drive.google.com/open?id=1o-ylmWFIPJNX7rhbC86iincD2Ai1SgEY</v>
      </c>
    </row>
    <row r="291" ht="15.75" customHeight="1">
      <c r="F291" s="205"/>
      <c r="G291" s="206"/>
      <c r="V291" s="207"/>
      <c r="W291" s="207"/>
      <c r="X291" s="206"/>
      <c r="Z291" s="165" t="str">
        <f>IFERROR(__xludf.DUMMYFUNCTION("""COMPUTED_VALUE"""),"Analysis of the Delay Distribution in Cellular Networks by Using Stochastic Geometry")</f>
        <v>Analysis of the Delay Distribution in Cellular Networks by Using Stochastic Geometry</v>
      </c>
      <c r="AA291" s="165" t="str">
        <f>IFERROR(__xludf.DUMMYFUNCTION("""COMPUTED_VALUE"""),"Published")</f>
        <v>Published</v>
      </c>
      <c r="AB291" s="166" t="str">
        <f>IFERROR(__xludf.DUMMYFUNCTION("""COMPUTED_VALUE"""),"https://doi.org/10.1109/OJCOMS.2023.3294791")</f>
        <v>https://doi.org/10.1109/OJCOMS.2023.3294791</v>
      </c>
      <c r="AC291" s="166" t="str">
        <f>IFERROR(__xludf.DUMMYFUNCTION("""COMPUTED_VALUE"""),"https://drive.google.com/open?id=1GIrWhw4jCqxkrT-tUKS4OArKPv2-zFbd")</f>
        <v>https://drive.google.com/open?id=1GIrWhw4jCqxkrT-tUKS4OArKPv2-zFbd</v>
      </c>
    </row>
    <row r="292" ht="15.75" customHeight="1">
      <c r="F292" s="205"/>
      <c r="G292" s="206"/>
      <c r="V292" s="207"/>
      <c r="W292" s="207"/>
      <c r="X292" s="206"/>
      <c r="Z292" s="165" t="str">
        <f>IFERROR(__xludf.DUMMYFUNCTION("""COMPUTED_VALUE"""),"Analytical Approach of EM Wave Propagation in Different Stacked Materials Encapsulated by Rectangular Waveguide")</f>
        <v>Analytical Approach of EM Wave Propagation in Different Stacked Materials Encapsulated by Rectangular Waveguide</v>
      </c>
      <c r="AA292" s="165" t="str">
        <f>IFERROR(__xludf.DUMMYFUNCTION("""COMPUTED_VALUE"""),"Published")</f>
        <v>Published</v>
      </c>
      <c r="AB292" s="166" t="str">
        <f>IFERROR(__xludf.DUMMYFUNCTION("""COMPUTED_VALUE"""),"https://doi.org/10.1109/ICONAT57137.2023.10080779")</f>
        <v>https://doi.org/10.1109/ICONAT57137.2023.10080779</v>
      </c>
      <c r="AC292" s="166" t="str">
        <f>IFERROR(__xludf.DUMMYFUNCTION("""COMPUTED_VALUE"""),"https://drive.google.com/open?id=1hSh_yqewH-1QVIBAupiGmFcS0oUPA7ae")</f>
        <v>https://drive.google.com/open?id=1hSh_yqewH-1QVIBAupiGmFcS0oUPA7ae</v>
      </c>
    </row>
    <row r="293" ht="15.75" customHeight="1">
      <c r="F293" s="205"/>
      <c r="G293" s="206"/>
      <c r="V293" s="207"/>
      <c r="W293" s="207"/>
      <c r="X293" s="206"/>
      <c r="Z293" s="165" t="str">
        <f>IFERROR(__xludf.DUMMYFUNCTION("""COMPUTED_VALUE"""),"Analyze Transmission Data from a Multi-Node Patient's Respiratory FMCW Radar to the Internet of Things")</f>
        <v>Analyze Transmission Data from a Multi-Node Patient's Respiratory FMCW Radar to the Internet of Things</v>
      </c>
      <c r="AA293" s="165" t="str">
        <f>IFERROR(__xludf.DUMMYFUNCTION("""COMPUTED_VALUE"""),"Published")</f>
        <v>Published</v>
      </c>
      <c r="AB293" s="166" t="str">
        <f>IFERROR(__xludf.DUMMYFUNCTION("""COMPUTED_VALUE"""),"https://doi.org/ 10.14569/IJACSA.2023.0140521")</f>
        <v>https://doi.org/ 10.14569/IJACSA.2023.0140521</v>
      </c>
      <c r="AC293" s="166" t="str">
        <f>IFERROR(__xludf.DUMMYFUNCTION("""COMPUTED_VALUE"""),"https://drive.google.com/open?id=17gl9dPCFATottVaPC-vmQEeEFyLfr4vQ")</f>
        <v>https://drive.google.com/open?id=17gl9dPCFATottVaPC-vmQEeEFyLfr4vQ</v>
      </c>
    </row>
    <row r="294" ht="15.75" customHeight="1">
      <c r="F294" s="205"/>
      <c r="G294" s="206"/>
      <c r="V294" s="207"/>
      <c r="W294" s="207"/>
      <c r="X294" s="206"/>
      <c r="Z294" s="165" t="str">
        <f>IFERROR(__xludf.DUMMYFUNCTION("""COMPUTED_VALUE"""),"Autoencoder-Based Feature Learning for Predicting Cardiovascular Disease")</f>
        <v>Autoencoder-Based Feature Learning for Predicting Cardiovascular Disease</v>
      </c>
      <c r="AA294" s="165" t="str">
        <f>IFERROR(__xludf.DUMMYFUNCTION("""COMPUTED_VALUE"""),"Published")</f>
        <v>Published</v>
      </c>
      <c r="AB294" s="166" t="str">
        <f>IFERROR(__xludf.DUMMYFUNCTION("""COMPUTED_VALUE"""),"https://journal.uob.edu.bh/bitstream/handle/123456789/4889/1570853994.pdf?sequence=1&amp;isAllowed=y")</f>
        <v>https://journal.uob.edu.bh/bitstream/handle/123456789/4889/1570853994.pdf?sequence=1&amp;isAllowed=y</v>
      </c>
      <c r="AC294" s="166" t="str">
        <f>IFERROR(__xludf.DUMMYFUNCTION("""COMPUTED_VALUE"""),"https://drive.google.com/open?id=1dWeezm9O896lVu4vrbBq8LRWK_Rf3fcS")</f>
        <v>https://drive.google.com/open?id=1dWeezm9O896lVu4vrbBq8LRWK_Rf3fcS</v>
      </c>
    </row>
    <row r="295" ht="15.75" customHeight="1">
      <c r="F295" s="205"/>
      <c r="G295" s="206"/>
      <c r="V295" s="207"/>
      <c r="W295" s="207"/>
      <c r="X295" s="206"/>
      <c r="Z295" s="165" t="str">
        <f>IFERROR(__xludf.DUMMYFUNCTION("""COMPUTED_VALUE"""),"Controlling Beam Directions using Self-reconfigurable Time-varying Metasurfaces")</f>
        <v>Controlling Beam Directions using Self-reconfigurable Time-varying Metasurfaces</v>
      </c>
      <c r="AA295" s="165" t="str">
        <f>IFERROR(__xludf.DUMMYFUNCTION("""COMPUTED_VALUE"""),"Published")</f>
        <v>Published</v>
      </c>
      <c r="AB295" s="166" t="str">
        <f>IFERROR(__xludf.DUMMYFUNCTION("""COMPUTED_VALUE"""),"https://doi.org/10.23919/URSIGASS57860.2023.10265452")</f>
        <v>https://doi.org/10.23919/URSIGASS57860.2023.10265452</v>
      </c>
      <c r="AC295" s="165"/>
    </row>
    <row r="296" ht="15.75" customHeight="1">
      <c r="F296" s="205"/>
      <c r="G296" s="206"/>
      <c r="V296" s="207"/>
      <c r="W296" s="207"/>
      <c r="X296" s="206"/>
      <c r="Z296" s="165" t="str">
        <f>IFERROR(__xludf.DUMMYFUNCTION("""COMPUTED_VALUE"""),"Data Analyzes and conversion of Patient’s Respiratory FMCW Radar to the Internet of Things")</f>
        <v>Data Analyzes and conversion of Patient’s Respiratory FMCW Radar to the Internet of Things</v>
      </c>
      <c r="AA296" s="165" t="str">
        <f>IFERROR(__xludf.DUMMYFUNCTION("""COMPUTED_VALUE"""),"Published")</f>
        <v>Published</v>
      </c>
      <c r="AB296" s="166" t="str">
        <f>IFERROR(__xludf.DUMMYFUNCTION("""COMPUTED_VALUE"""),"https://doi.org/10.1109/ISITIA59021.2023.10221180")</f>
        <v>https://doi.org/10.1109/ISITIA59021.2023.10221180</v>
      </c>
      <c r="AC296" s="166" t="str">
        <f>IFERROR(__xludf.DUMMYFUNCTION("""COMPUTED_VALUE"""),"https://drive.google.com/open?id=1cnnVTWTj_ZwWwVgmLp7AC9iwMDzI5KmM")</f>
        <v>https://drive.google.com/open?id=1cnnVTWTj_ZwWwVgmLp7AC9iwMDzI5KmM</v>
      </c>
    </row>
    <row r="297" ht="15.75" customHeight="1">
      <c r="F297" s="205"/>
      <c r="G297" s="206"/>
      <c r="V297" s="207"/>
      <c r="W297" s="207"/>
      <c r="X297" s="206"/>
      <c r="Z297" s="165" t="str">
        <f>IFERROR(__xludf.DUMMYFUNCTION("""COMPUTED_VALUE"""),"Deep convolutional neural networks-based features for Indonesian large vocabulary speech recognition")</f>
        <v>Deep convolutional neural networks-based features for Indonesian large vocabulary speech recognition</v>
      </c>
      <c r="AA297" s="165" t="str">
        <f>IFERROR(__xludf.DUMMYFUNCTION("""COMPUTED_VALUE"""),"Published")</f>
        <v>Published</v>
      </c>
      <c r="AB297" s="166" t="str">
        <f>IFERROR(__xludf.DUMMYFUNCTION("""COMPUTED_VALUE"""),"https://doi.org/10.11591/ijai.v12.i2.pp610-617")</f>
        <v>https://doi.org/10.11591/ijai.v12.i2.pp610-617</v>
      </c>
      <c r="AC297" s="165"/>
    </row>
    <row r="298" ht="15.75" customHeight="1">
      <c r="F298" s="205"/>
      <c r="G298" s="206"/>
      <c r="V298" s="207"/>
      <c r="W298" s="207"/>
      <c r="X298" s="206"/>
      <c r="Z298" s="165" t="str">
        <f>IFERROR(__xludf.DUMMYFUNCTION("""COMPUTED_VALUE"""),"Design and analysis for the SPICE parameters of waveform-selective metasurfaces varying with the incident pulse width at a constant oscillation frequency")</f>
        <v>Design and analysis for the SPICE parameters of waveform-selective metasurfaces varying with the incident pulse width at a constant oscillation frequency</v>
      </c>
      <c r="AA298" s="165" t="str">
        <f>IFERROR(__xludf.DUMMYFUNCTION("""COMPUTED_VALUE"""),"Published")</f>
        <v>Published</v>
      </c>
      <c r="AB298" s="166" t="str">
        <f>IFERROR(__xludf.DUMMYFUNCTION("""COMPUTED_VALUE"""),"https://doi.org/10.1038/s41598-023-34112-z")</f>
        <v>https://doi.org/10.1038/s41598-023-34112-z</v>
      </c>
      <c r="AC298" s="166" t="str">
        <f>IFERROR(__xludf.DUMMYFUNCTION("""COMPUTED_VALUE"""),"https://drive.google.com/open?id=1nXxbU5hhLQTplUXls1xuMJmYvf5f2lsm")</f>
        <v>https://drive.google.com/open?id=1nXxbU5hhLQTplUXls1xuMJmYvf5f2lsm</v>
      </c>
    </row>
    <row r="299" ht="15.75" customHeight="1">
      <c r="F299" s="205"/>
      <c r="G299" s="206"/>
      <c r="V299" s="207"/>
      <c r="W299" s="207"/>
      <c r="X299" s="206"/>
      <c r="Z299" s="166" t="str">
        <f>IFERROR(__xludf.DUMMYFUNCTION("""COMPUTED_VALUE"""),"Design of 1 × 2 MIMO Palm Tree Coplanar Vivaldi Antenna in the E-Plane with Different Patch Structure")</f>
        <v>Design of 1 × 2 MIMO Palm Tree Coplanar Vivaldi Antenna in the E-Plane with Different Patch Structure</v>
      </c>
      <c r="AA299" s="165" t="str">
        <f>IFERROR(__xludf.DUMMYFUNCTION("""COMPUTED_VALUE"""),"Published")</f>
        <v>Published</v>
      </c>
      <c r="AB299" s="166" t="str">
        <f>IFERROR(__xludf.DUMMYFUNCTION("""COMPUTED_VALUE"""),"https://doi.org/10.3390/electronics12010177")</f>
        <v>https://doi.org/10.3390/electronics12010177</v>
      </c>
      <c r="AC299" s="165"/>
    </row>
    <row r="300" ht="15.75" customHeight="1">
      <c r="F300" s="205"/>
      <c r="G300" s="206"/>
      <c r="V300" s="207"/>
      <c r="W300" s="207"/>
      <c r="X300" s="206"/>
      <c r="Z300" s="165" t="str">
        <f>IFERROR(__xludf.DUMMYFUNCTION("""COMPUTED_VALUE"""),"Design of a 1x5 planar array microstrip antenna with edge weighting to increase gain")</f>
        <v>Design of a 1x5 planar array microstrip antenna with edge weighting to increase gain</v>
      </c>
      <c r="AA300" s="165" t="str">
        <f>IFERROR(__xludf.DUMMYFUNCTION("""COMPUTED_VALUE"""),"Published")</f>
        <v>Published</v>
      </c>
      <c r="AB300" s="166" t="str">
        <f>IFERROR(__xludf.DUMMYFUNCTION("""COMPUTED_VALUE"""),"https://doi.org/10.24425/ijet.2023.147688")</f>
        <v>https://doi.org/10.24425/ijet.2023.147688</v>
      </c>
      <c r="AC300" s="166" t="str">
        <f>IFERROR(__xludf.DUMMYFUNCTION("""COMPUTED_VALUE"""),"https://drive.google.com/open?id=1xNIca2Sf59aPoVCcLXO2sZAs42BhEFu-")</f>
        <v>https://drive.google.com/open?id=1xNIca2Sf59aPoVCcLXO2sZAs42BhEFu-</v>
      </c>
    </row>
    <row r="301" ht="15.75" customHeight="1">
      <c r="F301" s="205"/>
      <c r="G301" s="206"/>
      <c r="V301" s="207"/>
      <c r="W301" s="207"/>
      <c r="X301" s="206"/>
      <c r="Z301" s="166" t="str">
        <f>IFERROR(__xludf.DUMMYFUNCTION("""COMPUTED_VALUE"""),"Determination of colorant type in yellow tofu using Vis-NIR and SW-NIR spectroscopy")</f>
        <v>Determination of colorant type in yellow tofu using Vis-NIR and SW-NIR spectroscopy</v>
      </c>
      <c r="AA301" s="165" t="str">
        <f>IFERROR(__xludf.DUMMYFUNCTION("""COMPUTED_VALUE"""),"Published")</f>
        <v>Published</v>
      </c>
      <c r="AB301" s="166" t="str">
        <f>IFERROR(__xludf.DUMMYFUNCTION("""COMPUTED_VALUE"""),"https://doi.org/10.1590/fst.112422")</f>
        <v>https://doi.org/10.1590/fst.112422</v>
      </c>
      <c r="AC301" s="165"/>
    </row>
    <row r="302" ht="15.75" customHeight="1">
      <c r="F302" s="205"/>
      <c r="G302" s="206"/>
      <c r="V302" s="207"/>
      <c r="W302" s="207"/>
      <c r="X302" s="206"/>
      <c r="Z302" s="165" t="str">
        <f>IFERROR(__xludf.DUMMYFUNCTION("""COMPUTED_VALUE"""),"Development Education of Blind Adaptive Data Rate LoRaWAN Network on Mobile Node")</f>
        <v>Development Education of Blind Adaptive Data Rate LoRaWAN Network on Mobile Node</v>
      </c>
      <c r="AA302" s="165" t="str">
        <f>IFERROR(__xludf.DUMMYFUNCTION("""COMPUTED_VALUE"""),"Published")</f>
        <v>Published</v>
      </c>
      <c r="AB302" s="166" t="str">
        <f>IFERROR(__xludf.DUMMYFUNCTION("""COMPUTED_VALUE"""),"https://doi.org/10.1109/ISRITI56927.2022.10052978")</f>
        <v>https://doi.org/10.1109/ISRITI56927.2022.10052978</v>
      </c>
      <c r="AC302" s="165"/>
    </row>
    <row r="303" ht="15.75" customHeight="1">
      <c r="F303" s="205"/>
      <c r="G303" s="206"/>
      <c r="V303" s="207"/>
      <c r="W303" s="207"/>
      <c r="X303" s="206"/>
      <c r="Z303" s="165" t="str">
        <f>IFERROR(__xludf.DUMMYFUNCTION("""COMPUTED_VALUE"""),"Dual-band waveform-selective metasurfaces for reflection suppression")</f>
        <v>Dual-band waveform-selective metasurfaces for reflection suppression</v>
      </c>
      <c r="AA303" s="165" t="str">
        <f>IFERROR(__xludf.DUMMYFUNCTION("""COMPUTED_VALUE"""),"Published")</f>
        <v>Published</v>
      </c>
      <c r="AB303" s="166" t="str">
        <f>IFERROR(__xludf.DUMMYFUNCTION("""COMPUTED_VALUE"""),"https://doi.org/10.1063/5.0167094")</f>
        <v>https://doi.org/10.1063/5.0167094</v>
      </c>
      <c r="AC303" s="165"/>
    </row>
    <row r="304" ht="15.75" customHeight="1">
      <c r="F304" s="205"/>
      <c r="G304" s="206"/>
      <c r="V304" s="207"/>
      <c r="W304" s="207"/>
      <c r="X304" s="206"/>
      <c r="Z304" s="165" t="str">
        <f>IFERROR(__xludf.DUMMYFUNCTION("""COMPUTED_VALUE"""),"Enabling Frequency-hopping Selectivity with Locally Self-tuned Metasurfaces")</f>
        <v>Enabling Frequency-hopping Selectivity with Locally Self-tuned Metasurfaces</v>
      </c>
      <c r="AA304" s="165" t="str">
        <f>IFERROR(__xludf.DUMMYFUNCTION("""COMPUTED_VALUE"""),"Published")</f>
        <v>Published</v>
      </c>
      <c r="AB304" s="166" t="str">
        <f>IFERROR(__xludf.DUMMYFUNCTION("""COMPUTED_VALUE"""),"https://doi.org/10.1109/Metamaterials58257.2023.10289573")</f>
        <v>https://doi.org/10.1109/Metamaterials58257.2023.10289573</v>
      </c>
      <c r="AC304" s="165"/>
    </row>
    <row r="305" ht="15.75" customHeight="1">
      <c r="F305" s="205"/>
      <c r="G305" s="206"/>
      <c r="V305" s="207"/>
      <c r="W305" s="207"/>
      <c r="X305" s="206"/>
      <c r="Z305" s="165" t="str">
        <f>IFERROR(__xludf.DUMMYFUNCTION("""COMPUTED_VALUE"""),"Enhanced Magnetic and Microwave Absorbing Properties
of Nd3þ Ion Doped CoFe2O4 by Solid-State Reaction
Method")</f>
        <v>Enhanced Magnetic and Microwave Absorbing Properties
of Nd3þ Ion Doped CoFe2O4 by Solid-State Reaction
Method</v>
      </c>
      <c r="AA305" s="165" t="str">
        <f>IFERROR(__xludf.DUMMYFUNCTION("""COMPUTED_VALUE"""),"Published")</f>
        <v>Published</v>
      </c>
      <c r="AB305" s="166" t="str">
        <f>IFERROR(__xludf.DUMMYFUNCTION("""COMPUTED_VALUE""")," https://doi.org/10.1002/pssa.202200718")</f>
        <v> https://doi.org/10.1002/pssa.202200718</v>
      </c>
      <c r="AC305" s="165"/>
    </row>
    <row r="306" ht="15.75" customHeight="1">
      <c r="F306" s="205"/>
      <c r="G306" s="206"/>
      <c r="V306" s="207"/>
      <c r="W306" s="207"/>
      <c r="X306" s="206"/>
      <c r="Z306" s="165" t="str">
        <f>IFERROR(__xludf.DUMMYFUNCTION("""COMPUTED_VALUE"""),"Evaluation of Global Positioning System Internet of Things-LoRa based")</f>
        <v>Evaluation of Global Positioning System Internet of Things-LoRa based</v>
      </c>
      <c r="AA306" s="165" t="str">
        <f>IFERROR(__xludf.DUMMYFUNCTION("""COMPUTED_VALUE"""),"Published")</f>
        <v>Published</v>
      </c>
      <c r="AB306" s="166" t="str">
        <f>IFERROR(__xludf.DUMMYFUNCTION("""COMPUTED_VALUE"""),"https://doi.org/10.1109/ICE3IS56585.2022.10010203")</f>
        <v>https://doi.org/10.1109/ICE3IS56585.2022.10010203</v>
      </c>
      <c r="AC306" s="165"/>
    </row>
    <row r="307" ht="15.75" customHeight="1">
      <c r="F307" s="205"/>
      <c r="G307" s="206"/>
      <c r="V307" s="207"/>
      <c r="W307" s="207"/>
      <c r="X307" s="206"/>
      <c r="Z307" s="165" t="str">
        <f>IFERROR(__xludf.DUMMYFUNCTION("""COMPUTED_VALUE"""),"Experimental Based Blood Glucose Monitoring with a Noninvasive Cylindrical Biosensor Antenna")</f>
        <v>Experimental Based Blood Glucose Monitoring with a Noninvasive Cylindrical Biosensor Antenna</v>
      </c>
      <c r="AA307" s="165" t="str">
        <f>IFERROR(__xludf.DUMMYFUNCTION("""COMPUTED_VALUE"""),"Published")</f>
        <v>Published</v>
      </c>
      <c r="AB307" s="166" t="str">
        <f>IFERROR(__xludf.DUMMYFUNCTION("""COMPUTED_VALUE"""),"https://doi.org/10.2528/PIERM22110409")</f>
        <v>https://doi.org/10.2528/PIERM22110409</v>
      </c>
      <c r="AC307" s="165"/>
    </row>
    <row r="308" ht="15.75" customHeight="1">
      <c r="F308" s="205"/>
      <c r="G308" s="206"/>
      <c r="V308" s="207"/>
      <c r="W308" s="207"/>
      <c r="X308" s="206"/>
      <c r="Z308" s="165" t="str">
        <f>IFERROR(__xludf.DUMMYFUNCTION("""COMPUTED_VALUE"""),"Explainable Prediction of Alternative Medicine Outcome using Machine Learning and Shapley Values")</f>
        <v>Explainable Prediction of Alternative Medicine Outcome using Machine Learning and Shapley Values</v>
      </c>
      <c r="AA308" s="165" t="str">
        <f>IFERROR(__xludf.DUMMYFUNCTION("""COMPUTED_VALUE"""),"Published")</f>
        <v>Published</v>
      </c>
      <c r="AB308" s="166" t="str">
        <f>IFERROR(__xludf.DUMMYFUNCTION("""COMPUTED_VALUE"""),"https://doi.org/10.1109/ICITRI59340.2023.10249346")</f>
        <v>https://doi.org/10.1109/ICITRI59340.2023.10249346</v>
      </c>
      <c r="AC308" s="166" t="str">
        <f>IFERROR(__xludf.DUMMYFUNCTION("""COMPUTED_VALUE"""),"https://ieeexplore.ieee.org/document/10249346")</f>
        <v>https://ieeexplore.ieee.org/document/10249346</v>
      </c>
    </row>
    <row r="309" ht="15.75" customHeight="1">
      <c r="F309" s="205"/>
      <c r="G309" s="206"/>
      <c r="V309" s="207"/>
      <c r="W309" s="207"/>
      <c r="X309" s="206"/>
      <c r="Z309" s="165" t="str">
        <f>IFERROR(__xludf.DUMMYFUNCTION("""COMPUTED_VALUE"""),"Fabrication and characterization
of (Mg0.8Zn0.2)(Ti0.99Sn0.01)O3 ceramics as a 4.0 GHz
resonator in dielectric resonator oscillator module")</f>
        <v>Fabrication and characterization
of (Mg0.8Zn0.2)(Ti0.99Sn0.01)O3 ceramics as a 4.0 GHz
resonator in dielectric resonator oscillator module</v>
      </c>
      <c r="AA309" s="165" t="str">
        <f>IFERROR(__xludf.DUMMYFUNCTION("""COMPUTED_VALUE"""),"Published")</f>
        <v>Published</v>
      </c>
      <c r="AB309" s="166" t="str">
        <f>IFERROR(__xludf.DUMMYFUNCTION("""COMPUTED_VALUE"""),"https://doi.org/10.1007/s10854-023-10890-0")</f>
        <v>https://doi.org/10.1007/s10854-023-10890-0</v>
      </c>
      <c r="AC309" s="165"/>
    </row>
    <row r="310" ht="15.75" customHeight="1">
      <c r="F310" s="205"/>
      <c r="G310" s="206"/>
      <c r="V310" s="207"/>
      <c r="W310" s="207"/>
      <c r="X310" s="206"/>
      <c r="Z310" s="165" t="str">
        <f>IFERROR(__xludf.DUMMYFUNCTION("""COMPUTED_VALUE"""),"Face Presentation Attack Detection using Color Spaces Features and Convolutional Neural Network")</f>
        <v>Face Presentation Attack Detection using Color Spaces Features and Convolutional Neural Network</v>
      </c>
      <c r="AA310" s="165" t="str">
        <f>IFERROR(__xludf.DUMMYFUNCTION("""COMPUTED_VALUE"""),"Published")</f>
        <v>Published</v>
      </c>
      <c r="AB310" s="166" t="str">
        <f>IFERROR(__xludf.DUMMYFUNCTION("""COMPUTED_VALUE"""),"https://doi.org/10.1109/ICITISEE57756.2022.10057605")</f>
        <v>https://doi.org/10.1109/ICITISEE57756.2022.10057605</v>
      </c>
      <c r="AC310" s="165"/>
    </row>
    <row r="311" ht="15.75" customHeight="1">
      <c r="F311" s="205"/>
      <c r="G311" s="206"/>
      <c r="V311" s="207"/>
      <c r="W311" s="207"/>
      <c r="X311" s="206"/>
      <c r="Z311" s="165" t="str">
        <f>IFERROR(__xludf.DUMMYFUNCTION("""COMPUTED_VALUE"""),"FPGA-based Acceleration of Stereo Matching using OpenCL")</f>
        <v>FPGA-based Acceleration of Stereo Matching using OpenCL</v>
      </c>
      <c r="AA311" s="165" t="str">
        <f>IFERROR(__xludf.DUMMYFUNCTION("""COMPUTED_VALUE"""),"Published")</f>
        <v>Published</v>
      </c>
      <c r="AB311" s="166" t="str">
        <f>IFERROR(__xludf.DUMMYFUNCTION("""COMPUTED_VALUE"""),"https://doi.org/10.1145/3575882.3575883")</f>
        <v>https://doi.org/10.1145/3575882.3575883</v>
      </c>
      <c r="AC311" s="165"/>
    </row>
    <row r="312" ht="15.75" customHeight="1">
      <c r="F312" s="205"/>
      <c r="G312" s="206"/>
      <c r="V312" s="207"/>
      <c r="W312" s="207"/>
      <c r="X312" s="206"/>
      <c r="Z312" s="165" t="str">
        <f>IFERROR(__xludf.DUMMYFUNCTION("""COMPUTED_VALUE"""),"High-performance microwave absorption by
optimizing hydrothermal synthesis of
BaFe12O19@MnO2 core–shell composites")</f>
        <v>High-performance microwave absorption by
optimizing hydrothermal synthesis of
BaFe12O19@MnO2 core–shell composites</v>
      </c>
      <c r="AA312" s="165" t="str">
        <f>IFERROR(__xludf.DUMMYFUNCTION("""COMPUTED_VALUE"""),"Published")</f>
        <v>Published</v>
      </c>
      <c r="AB312" s="166" t="str">
        <f>IFERROR(__xludf.DUMMYFUNCTION("""COMPUTED_VALUE"""),"https://doi.org/10.1039/d3ra05114e")</f>
        <v>https://doi.org/10.1039/d3ra05114e</v>
      </c>
      <c r="AC312" s="166" t="str">
        <f>IFERROR(__xludf.DUMMYFUNCTION("""COMPUTED_VALUE"""),"https://drive.google.com/open?id=1tRe56efQE5sAB7lVCYKgAgWA6Ms5g6Qc")</f>
        <v>https://drive.google.com/open?id=1tRe56efQE5sAB7lVCYKgAgWA6Ms5g6Qc</v>
      </c>
    </row>
    <row r="313" ht="15.75" customHeight="1">
      <c r="F313" s="205"/>
      <c r="G313" s="206"/>
      <c r="V313" s="207"/>
      <c r="W313" s="207"/>
      <c r="X313" s="206"/>
      <c r="Z313" s="165" t="str">
        <f>IFERROR(__xludf.DUMMYFUNCTION("""COMPUTED_VALUE"""),"High-precision plant height measurement by drone with RTK-GNSS and single camera for real-time processing")</f>
        <v>High-precision plant height measurement by drone with RTK-GNSS and single camera for real-time processing</v>
      </c>
      <c r="AA313" s="165" t="str">
        <f>IFERROR(__xludf.DUMMYFUNCTION("""COMPUTED_VALUE"""),"Published")</f>
        <v>Published</v>
      </c>
      <c r="AB313" s="166" t="str">
        <f>IFERROR(__xludf.DUMMYFUNCTION("""COMPUTED_VALUE"""),"https://doi.org/10.1038/s41598-023-32167-6")</f>
        <v>https://doi.org/10.1038/s41598-023-32167-6</v>
      </c>
      <c r="AC313" s="166" t="str">
        <f>IFERROR(__xludf.DUMMYFUNCTION("""COMPUTED_VALUE"""),"https://drive.google.com/open?id=1XcPbEVUPqjlgJX4I9GQ1nW3X8IER49Gi")</f>
        <v>https://drive.google.com/open?id=1XcPbEVUPqjlgJX4I9GQ1nW3X8IER49Gi</v>
      </c>
    </row>
    <row r="314" ht="15.75" customHeight="1">
      <c r="F314" s="205"/>
      <c r="G314" s="206"/>
      <c r="V314" s="207"/>
      <c r="W314" s="207"/>
      <c r="X314" s="206"/>
      <c r="Z314" s="165" t="str">
        <f>IFERROR(__xludf.DUMMYFUNCTION("""COMPUTED_VALUE"""),"Hybrid HMSIW Cavities Antenna With a Half-Pentagon Ring Slot for Bandwidth Enhancement")</f>
        <v>Hybrid HMSIW Cavities Antenna With a Half-Pentagon Ring Slot for Bandwidth Enhancement</v>
      </c>
      <c r="AA314" s="165" t="str">
        <f>IFERROR(__xludf.DUMMYFUNCTION("""COMPUTED_VALUE"""),"Published")</f>
        <v>Published</v>
      </c>
      <c r="AB314" s="166" t="str">
        <f>IFERROR(__xludf.DUMMYFUNCTION("""COMPUTED_VALUE"""),"https://doi.org/10.1109/ACCESS.2023.3247604")</f>
        <v>https://doi.org/10.1109/ACCESS.2023.3247604</v>
      </c>
      <c r="AC314" s="165"/>
    </row>
    <row r="315" ht="15.75" customHeight="1">
      <c r="F315" s="205"/>
      <c r="G315" s="206"/>
      <c r="V315" s="207"/>
      <c r="W315" s="207"/>
      <c r="X315" s="206"/>
      <c r="Z315" s="165" t="str">
        <f>IFERROR(__xludf.DUMMYFUNCTION("""COMPUTED_VALUE"""),"Implementing Satellite-borne Synthetic Aperture Radar Imaging Algorithm with Open Source Scientific Software")</f>
        <v>Implementing Satellite-borne Synthetic Aperture Radar Imaging Algorithm with Open Source Scientific Software</v>
      </c>
      <c r="AA315" s="165" t="str">
        <f>IFERROR(__xludf.DUMMYFUNCTION("""COMPUTED_VALUE"""),"Published")</f>
        <v>Published</v>
      </c>
      <c r="AB315" s="166" t="str">
        <f>IFERROR(__xludf.DUMMYFUNCTION("""COMPUTED_VALUE"""),"https://doi.org/10.1109/NISS55057.2022.10085323
")</f>
        <v>https://doi.org/10.1109/NISS55057.2022.10085323
</v>
      </c>
      <c r="AC315" s="166" t="str">
        <f>IFERROR(__xludf.DUMMYFUNCTION("""COMPUTED_VALUE"""),"https://drive.google.com/open?id=1Dc55gfVja5MJVtYtSmc67H8DCgEa_260")</f>
        <v>https://drive.google.com/open?id=1Dc55gfVja5MJVtYtSmc67H8DCgEa_260</v>
      </c>
    </row>
    <row r="316" ht="15.75" customHeight="1">
      <c r="F316" s="205"/>
      <c r="G316" s="206"/>
      <c r="V316" s="207"/>
      <c r="W316" s="207"/>
      <c r="X316" s="206"/>
      <c r="Z316" s="165" t="str">
        <f>IFERROR(__xludf.DUMMYFUNCTION("""COMPUTED_VALUE"""),"Improved Autocorrelation Method for Time Synchronization in Filtered Orthogonal Frequency Division Multiplexing")</f>
        <v>Improved Autocorrelation Method for Time Synchronization in Filtered Orthogonal Frequency Division Multiplexing</v>
      </c>
      <c r="AA316" s="165" t="str">
        <f>IFERROR(__xludf.DUMMYFUNCTION("""COMPUTED_VALUE"""),"Published")</f>
        <v>Published</v>
      </c>
      <c r="AB316" s="166" t="str">
        <f>IFERROR(__xludf.DUMMYFUNCTION("""COMPUTED_VALUE"""),"http://doi.org/10.11591/ijece.v13i6.pp6538-6546")</f>
        <v>http://doi.org/10.11591/ijece.v13i6.pp6538-6546</v>
      </c>
      <c r="AC316" s="166" t="str">
        <f>IFERROR(__xludf.DUMMYFUNCTION("""COMPUTED_VALUE"""),"https://drive.google.com/open?id=117hkkGgh081xcr9fXAssNKa6Fc75JHrx")</f>
        <v>https://drive.google.com/open?id=117hkkGgh081xcr9fXAssNKa6Fc75JHrx</v>
      </c>
    </row>
    <row r="317" ht="15.75" customHeight="1">
      <c r="F317" s="205"/>
      <c r="G317" s="206"/>
      <c r="V317" s="207"/>
      <c r="W317" s="207"/>
      <c r="X317" s="206"/>
      <c r="Z317" s="165" t="str">
        <f>IFERROR(__xludf.DUMMYFUNCTION("""COMPUTED_VALUE"""),"Increased Reflection Loss of SrFe(11.9-x)In0.1Snx/2Znx/2O19 (x = 0.0; 0.10;
0.35 and 0.50): A Microwave Absorber Induced by Reduced Coercivity")</f>
        <v>Increased Reflection Loss of SrFe(11.9-x)In0.1Snx/2Znx/2O19 (x = 0.0; 0.10;
0.35 and 0.50): A Microwave Absorber Induced by Reduced Coercivity</v>
      </c>
      <c r="AA317" s="165" t="str">
        <f>IFERROR(__xludf.DUMMYFUNCTION("""COMPUTED_VALUE"""),"Published")</f>
        <v>Published</v>
      </c>
      <c r="AB317" s="166" t="str">
        <f>IFERROR(__xludf.DUMMYFUNCTION("""COMPUTED_VALUE"""),"https://doi.org/10.4028/p-amgj8y")</f>
        <v>https://doi.org/10.4028/p-amgj8y</v>
      </c>
      <c r="AC317" s="165"/>
    </row>
    <row r="318" ht="15.75" customHeight="1">
      <c r="F318" s="205"/>
      <c r="G318" s="206"/>
      <c r="V318" s="207"/>
      <c r="W318" s="207"/>
      <c r="X318" s="206"/>
      <c r="Z318" s="165" t="str">
        <f>IFERROR(__xludf.DUMMYFUNCTION("""COMPUTED_VALUE"""),"Inkjet printed intelligent reflecting surface for indoor applications")</f>
        <v>Inkjet printed intelligent reflecting surface for indoor applications</v>
      </c>
      <c r="AA318" s="165" t="str">
        <f>IFERROR(__xludf.DUMMYFUNCTION("""COMPUTED_VALUE"""),"Published")</f>
        <v>Published</v>
      </c>
      <c r="AB318" s="166" t="str">
        <f>IFERROR(__xludf.DUMMYFUNCTION("""COMPUTED_VALUE""")," https://doi.org/10.1049/ell2.13037")</f>
        <v> https://doi.org/10.1049/ell2.13037</v>
      </c>
      <c r="AC318" s="165"/>
    </row>
    <row r="319" ht="15.75" customHeight="1">
      <c r="F319" s="205"/>
      <c r="G319" s="206"/>
      <c r="V319" s="207"/>
      <c r="W319" s="207"/>
      <c r="X319" s="206"/>
      <c r="Z319" s="165" t="str">
        <f>IFERROR(__xludf.DUMMYFUNCTION("""COMPUTED_VALUE"""),"Leafony Board IoT and Its Development for Engineering Education")</f>
        <v>Leafony Board IoT and Its Development for Engineering Education</v>
      </c>
      <c r="AA319" s="165" t="str">
        <f>IFERROR(__xludf.DUMMYFUNCTION("""COMPUTED_VALUE"""),"Published")</f>
        <v>Published</v>
      </c>
      <c r="AB319" s="166" t="str">
        <f>IFERROR(__xludf.DUMMYFUNCTION("""COMPUTED_VALUE"""),"https://doi.org/10.1109/ICEED59801.2023.10264002")</f>
        <v>https://doi.org/10.1109/ICEED59801.2023.10264002</v>
      </c>
      <c r="AC319" s="166" t="str">
        <f>IFERROR(__xludf.DUMMYFUNCTION("""COMPUTED_VALUE"""),"https://drive.google.com/open?id=1H16cnkdmEZlrJtbXt_2gq4ywDTeFPc36")</f>
        <v>https://drive.google.com/open?id=1H16cnkdmEZlrJtbXt_2gq4ywDTeFPc36</v>
      </c>
    </row>
    <row r="320" ht="15.75" customHeight="1">
      <c r="F320" s="205"/>
      <c r="G320" s="206"/>
      <c r="V320" s="207"/>
      <c r="W320" s="207"/>
      <c r="X320" s="206"/>
      <c r="Z320" s="165" t="str">
        <f>IFERROR(__xludf.DUMMYFUNCTION("""COMPUTED_VALUE"""),"Linear LED driver design and its implementation for visible light communication applications")</f>
        <v>Linear LED driver design and its implementation for visible light communication applications</v>
      </c>
      <c r="AA320" s="165" t="str">
        <f>IFERROR(__xludf.DUMMYFUNCTION("""COMPUTED_VALUE"""),"Published")</f>
        <v>Published</v>
      </c>
      <c r="AB320" s="166" t="str">
        <f>IFERROR(__xludf.DUMMYFUNCTION("""COMPUTED_VALUE"""),"https://doi.org/10.1016/j.ijleo.2023.170533")</f>
        <v>https://doi.org/10.1016/j.ijleo.2023.170533</v>
      </c>
      <c r="AC320" s="166" t="str">
        <f>IFERROR(__xludf.DUMMYFUNCTION("""COMPUTED_VALUE"""),"https://drive.google.com/open?id=1PndejuanQGP1sXApl9evtufkFyflRYf2")</f>
        <v>https://drive.google.com/open?id=1PndejuanQGP1sXApl9evtufkFyflRYf2</v>
      </c>
    </row>
    <row r="321" ht="15.75" customHeight="1">
      <c r="F321" s="205"/>
      <c r="G321" s="206"/>
      <c r="V321" s="207"/>
      <c r="W321" s="207"/>
      <c r="X321" s="206"/>
      <c r="Z321" s="165" t="str">
        <f>IFERROR(__xludf.DUMMYFUNCTION("""COMPUTED_VALUE"""),"Machine Learning for Perinatal Complication Prediction: A Systematic Review")</f>
        <v>Machine Learning for Perinatal Complication Prediction: A Systematic Review</v>
      </c>
      <c r="AA321" s="165" t="str">
        <f>IFERROR(__xludf.DUMMYFUNCTION("""COMPUTED_VALUE"""),"Published")</f>
        <v>Published</v>
      </c>
      <c r="AB321" s="165"/>
      <c r="AC321" s="166" t="str">
        <f>IFERROR(__xludf.DUMMYFUNCTION("""COMPUTED_VALUE"""),"https://drive.google.com/open?id=1gCzLH1x6KhtGZQlmyZVVFCpj0jxuaGgM")</f>
        <v>https://drive.google.com/open?id=1gCzLH1x6KhtGZQlmyZVVFCpj0jxuaGgM</v>
      </c>
    </row>
    <row r="322" ht="15.75" customHeight="1">
      <c r="F322" s="205"/>
      <c r="G322" s="206"/>
      <c r="V322" s="207"/>
      <c r="W322" s="207"/>
      <c r="X322" s="206"/>
      <c r="Z322" s="165" t="str">
        <f>IFERROR(__xludf.DUMMYFUNCTION("""COMPUTED_VALUE"""),"MAGNETIC AND MICROWAVE ABSORBING
PROPERTIES IN SEMI-HARD COXFE(3-X)O4
SYNTHESIZED BY SOL GEL METHOD")</f>
        <v>MAGNETIC AND MICROWAVE ABSORBING
PROPERTIES IN SEMI-HARD COXFE(3-X)O4
SYNTHESIZED BY SOL GEL METHOD</v>
      </c>
      <c r="AA322" s="165" t="str">
        <f>IFERROR(__xludf.DUMMYFUNCTION("""COMPUTED_VALUE"""),"Published")</f>
        <v>Published</v>
      </c>
      <c r="AB322" s="166" t="str">
        <f>IFERROR(__xludf.DUMMYFUNCTION("""COMPUTED_VALUE"""),"https://doi.org/10.11113/jurnalteknologi.v85.17741")</f>
        <v>https://doi.org/10.11113/jurnalteknologi.v85.17741</v>
      </c>
      <c r="AC322" s="165"/>
    </row>
    <row r="323" ht="15.75" customHeight="1">
      <c r="F323" s="205"/>
      <c r="G323" s="206"/>
      <c r="V323" s="207"/>
      <c r="W323" s="207"/>
      <c r="X323" s="206"/>
      <c r="Z323" s="165" t="str">
        <f>IFERROR(__xludf.DUMMYFUNCTION("""COMPUTED_VALUE"""),"Mapping the Literature of Artificial Intelligence in Medical Education: A Scientometric Analysis
")</f>
        <v>Mapping the Literature of Artificial Intelligence in Medical Education: A Scientometric Analysis
</v>
      </c>
      <c r="AA323" s="165" t="str">
        <f>IFERROR(__xludf.DUMMYFUNCTION("""COMPUTED_VALUE"""),"Published")</f>
        <v>Published</v>
      </c>
      <c r="AB323" s="166" t="str">
        <f>IFERROR(__xludf.DUMMYFUNCTION("""COMPUTED_VALUE"""),"https://www.scopus.com/record/display.uri?eid=2-s2.0-85174445804&amp;origin=resultslist&amp;sort=plf-f&amp;src=s&amp;sid=e9b5ed1022cad3285cb45be9bf1d4183&amp;sot=b&amp;sdt=b&amp;s=TITLE-ABS-KEY%28Mapping+the+Literature+of+Artificial+Intelligence+in+Medical+Education%3A+A+Scientometr"&amp;"ic+Analysis%29&amp;sl=111&amp;sessionSearchId=e9b5ed1022cad3285cb45be9bf1d4183&amp;relpos=0")</f>
        <v>https://www.scopus.com/record/display.uri?eid=2-s2.0-85174445804&amp;origin=resultslist&amp;sort=plf-f&amp;src=s&amp;sid=e9b5ed1022cad3285cb45be9bf1d4183&amp;sot=b&amp;sdt=b&amp;s=TITLE-ABS-KEY%28Mapping+the+Literature+of+Artificial+Intelligence+in+Medical+Education%3A+A+Scientometric+Analysis%29&amp;sl=111&amp;sessionSearchId=e9b5ed1022cad3285cb45be9bf1d4183&amp;relpos=0</v>
      </c>
      <c r="AC323" s="165" t="str">
        <f>IFERROR(__xludf.DUMMYFUNCTION("""COMPUTED_VALUE"""),"https://doi.org/ 10.1007/978-981-99-5166-6_47")</f>
        <v>https://doi.org/ 10.1007/978-981-99-5166-6_47</v>
      </c>
    </row>
    <row r="324" ht="15.75" customHeight="1">
      <c r="F324" s="205"/>
      <c r="G324" s="206"/>
      <c r="V324" s="207"/>
      <c r="W324" s="207"/>
      <c r="X324" s="206"/>
      <c r="Z324" s="165" t="str">
        <f>IFERROR(__xludf.DUMMYFUNCTION("""COMPUTED_VALUE"""),"Method for Extracting the Equivalent Admittance from Time-Varying Metasurfaces and Its Application to Self-Tuned Spatiotemporal Wave Manipulation")</f>
        <v>Method for Extracting the Equivalent Admittance from Time-Varying Metasurfaces and Its Application to Self-Tuned Spatiotemporal Wave Manipulation</v>
      </c>
      <c r="AA324" s="165" t="str">
        <f>IFERROR(__xludf.DUMMYFUNCTION("""COMPUTED_VALUE"""),"Published")</f>
        <v>Published</v>
      </c>
      <c r="AB324" s="166" t="str">
        <f>IFERROR(__xludf.DUMMYFUNCTION("""COMPUTED_VALUE"""),"https://iopscience.iop.org/article/10.1088/1361-6463/ac9b67")</f>
        <v>https://iopscience.iop.org/article/10.1088/1361-6463/ac9b67</v>
      </c>
      <c r="AC324" s="166" t="str">
        <f>IFERROR(__xludf.DUMMYFUNCTION("""COMPUTED_VALUE"""),"https://doi.org/10.1088/1361-6463/ac9b67")</f>
        <v>https://doi.org/10.1088/1361-6463/ac9b67</v>
      </c>
    </row>
    <row r="325" ht="15.75" customHeight="1">
      <c r="F325" s="205"/>
      <c r="G325" s="206"/>
      <c r="V325" s="207"/>
      <c r="W325" s="207"/>
      <c r="X325" s="206"/>
      <c r="Z325" s="165" t="str">
        <f>IFERROR(__xludf.DUMMYFUNCTION("""COMPUTED_VALUE"""),"Modeling of Quasi-tapered Microstrip Antenna Based on Expansion-exponential Tapered Method and Its Application for Wideband MIMO Structure")</f>
        <v>Modeling of Quasi-tapered Microstrip Antenna Based on Expansion-exponential Tapered Method and Its Application for Wideband MIMO Structure</v>
      </c>
      <c r="AA325" s="165" t="str">
        <f>IFERROR(__xludf.DUMMYFUNCTION("""COMPUTED_VALUE"""),"Published")</f>
        <v>Published</v>
      </c>
      <c r="AB325" s="166" t="str">
        <f>IFERROR(__xludf.DUMMYFUNCTION("""COMPUTED_VALUE"""),"https://doi.org/10.1016/j.aeue.2023.154745
")</f>
        <v>https://doi.org/10.1016/j.aeue.2023.154745
</v>
      </c>
      <c r="AC325" s="166" t="str">
        <f>IFERROR(__xludf.DUMMYFUNCTION("""COMPUTED_VALUE"""),"https://drive.google.com/open?id=1hjN1ZIToymzxJgEa4pKa0hhOgaP2b1cy")</f>
        <v>https://drive.google.com/open?id=1hjN1ZIToymzxJgEa4pKa0hhOgaP2b1cy</v>
      </c>
    </row>
    <row r="326" ht="15.75" customHeight="1">
      <c r="F326" s="205"/>
      <c r="G326" s="206"/>
      <c r="V326" s="207"/>
      <c r="W326" s="207"/>
      <c r="X326" s="206"/>
      <c r="Z326" s="165" t="str">
        <f>IFERROR(__xludf.DUMMYFUNCTION("""COMPUTED_VALUE"""),"Multifunctional Metasurface-Based Sensors Operating at a Single Frequency")</f>
        <v>Multifunctional Metasurface-Based Sensors Operating at a Single Frequency</v>
      </c>
      <c r="AA326" s="165" t="str">
        <f>IFERROR(__xludf.DUMMYFUNCTION("""COMPUTED_VALUE"""),"Published")</f>
        <v>Published</v>
      </c>
      <c r="AB326" s="166" t="str">
        <f>IFERROR(__xludf.DUMMYFUNCTION("""COMPUTED_VALUE"""),"https://doi.org/10.1109/Metamaterials58257.2023.10289290")</f>
        <v>https://doi.org/10.1109/Metamaterials58257.2023.10289290</v>
      </c>
      <c r="AC326" s="165"/>
    </row>
    <row r="327" ht="15.75" customHeight="1">
      <c r="F327" s="205"/>
      <c r="G327" s="206"/>
      <c r="V327" s="207"/>
      <c r="W327" s="207"/>
      <c r="X327" s="206"/>
      <c r="Z327" s="165" t="str">
        <f>IFERROR(__xludf.DUMMYFUNCTION("""COMPUTED_VALUE"""),"Network Slicing Modelling and Simulation on 5G Networks Using Virne")</f>
        <v>Network Slicing Modelling and Simulation on 5G Networks Using Virne</v>
      </c>
      <c r="AA327" s="165" t="str">
        <f>IFERROR(__xludf.DUMMYFUNCTION("""COMPUTED_VALUE"""),"Published")</f>
        <v>Published</v>
      </c>
      <c r="AB327" s="166" t="str">
        <f>IFERROR(__xludf.DUMMYFUNCTION("""COMPUTED_VALUE"""),"https://doi.org/10.1109/IC3INA60834.2023.10285790")</f>
        <v>https://doi.org/10.1109/IC3INA60834.2023.10285790</v>
      </c>
      <c r="AC327" s="166" t="str">
        <f>IFERROR(__xludf.DUMMYFUNCTION("""COMPUTED_VALUE"""),"https://drive.google.com/open?id=1_nFq-lQUOU7zjJR_XIH117UpedCH78xM")</f>
        <v>https://drive.google.com/open?id=1_nFq-lQUOU7zjJR_XIH117UpedCH78xM</v>
      </c>
    </row>
    <row r="328" ht="15.75" customHeight="1">
      <c r="F328" s="205"/>
      <c r="G328" s="206"/>
      <c r="V328" s="207"/>
      <c r="W328" s="207"/>
      <c r="X328" s="206"/>
      <c r="Z328" s="165" t="str">
        <f>IFERROR(__xludf.DUMMYFUNCTION("""COMPUTED_VALUE"""),"Numerical Experiment of Adding Patch Elements to X-band
Microstrip Antennas")</f>
        <v>Numerical Experiment of Adding Patch Elements to X-band
Microstrip Antennas</v>
      </c>
      <c r="AA328" s="165" t="str">
        <f>IFERROR(__xludf.DUMMYFUNCTION("""COMPUTED_VALUE"""),"Published")</f>
        <v>Published</v>
      </c>
      <c r="AB328" s="165" t="str">
        <f>IFERROR(__xludf.DUMMYFUNCTION("""COMPUTED_VALUE"""),"DOI : 10.1109/RFM56185.2022.10065007/ https://ieeexplore.ieee.org/document/10065007")</f>
        <v>DOI : 10.1109/RFM56185.2022.10065007/ https://ieeexplore.ieee.org/document/10065007</v>
      </c>
      <c r="AC328" s="166" t="str">
        <f>IFERROR(__xludf.DUMMYFUNCTION("""COMPUTED_VALUE"""),"https://drive.google.com/open?id=1uQoEaVKKOYLTG4bNgM7GIElnKn9OfCqD")</f>
        <v>https://drive.google.com/open?id=1uQoEaVKKOYLTG4bNgM7GIElnKn9OfCqD</v>
      </c>
    </row>
    <row r="329" ht="15.75" customHeight="1">
      <c r="F329" s="205"/>
      <c r="G329" s="206"/>
      <c r="V329" s="207"/>
      <c r="W329" s="207"/>
      <c r="X329" s="206"/>
      <c r="Z329" s="165" t="str">
        <f>IFERROR(__xludf.DUMMYFUNCTION("""COMPUTED_VALUE"""),"Oceanic Dynamic Positioning through Hierarchical LQR Algorithm-Driven Advancements for Underactuated Remotely Operated Underwater Vehicles")</f>
        <v>Oceanic Dynamic Positioning through Hierarchical LQR Algorithm-Driven Advancements for Underactuated Remotely Operated Underwater Vehicles</v>
      </c>
      <c r="AA329" s="165" t="str">
        <f>IFERROR(__xludf.DUMMYFUNCTION("""COMPUTED_VALUE"""),"Published")</f>
        <v>Published</v>
      </c>
      <c r="AB329" s="166" t="str">
        <f>IFERROR(__xludf.DUMMYFUNCTION("""COMPUTED_VALUE"""),"https://doi.org/10.1109/IC3INA60834.2023.10285745")</f>
        <v>https://doi.org/10.1109/IC3INA60834.2023.10285745</v>
      </c>
      <c r="AC329" s="165"/>
    </row>
    <row r="330" ht="15.75" customHeight="1">
      <c r="F330" s="205"/>
      <c r="G330" s="206"/>
      <c r="V330" s="207"/>
      <c r="W330" s="207"/>
      <c r="X330" s="206"/>
      <c r="Z330" s="165" t="str">
        <f>IFERROR(__xludf.DUMMYFUNCTION("""COMPUTED_VALUE"""),"Oxidative polymerization of polyaniline and its microwave
absorbing properties")</f>
        <v>Oxidative polymerization of polyaniline and its microwave
absorbing properties</v>
      </c>
      <c r="AA330" s="165" t="str">
        <f>IFERROR(__xludf.DUMMYFUNCTION("""COMPUTED_VALUE"""),"Published")</f>
        <v>Published</v>
      </c>
      <c r="AB330" s="166" t="str">
        <f>IFERROR(__xludf.DUMMYFUNCTION("""COMPUTED_VALUE"""),"https://doi.org/10.1063/5.0136029")</f>
        <v>https://doi.org/10.1063/5.0136029</v>
      </c>
      <c r="AC330" s="166" t="str">
        <f>IFERROR(__xludf.DUMMYFUNCTION("""COMPUTED_VALUE"""),"https://drive.google.com/open?id=1A8EAQXDP5MDyeHduKW06NdFTFOZDjqKO")</f>
        <v>https://drive.google.com/open?id=1A8EAQXDP5MDyeHduKW06NdFTFOZDjqKO</v>
      </c>
    </row>
    <row r="331" ht="15.75" customHeight="1">
      <c r="F331" s="205"/>
      <c r="G331" s="206"/>
      <c r="V331" s="207"/>
      <c r="W331" s="207"/>
      <c r="X331" s="206"/>
      <c r="Z331" s="165" t="str">
        <f>IFERROR(__xludf.DUMMYFUNCTION("""COMPUTED_VALUE"""),"Passive Reconfigurable Intelligent Surfaces with Varying Electromagnetic Response in Accordance with the Pulse Width at the Same Frequency")</f>
        <v>Passive Reconfigurable Intelligent Surfaces with Varying Electromagnetic Response in Accordance with the Pulse Width at the Same Frequency</v>
      </c>
      <c r="AA331" s="165" t="str">
        <f>IFERROR(__xludf.DUMMYFUNCTION("""COMPUTED_VALUE"""),"Published")</f>
        <v>Published</v>
      </c>
      <c r="AB331" s="166" t="str">
        <f>IFERROR(__xludf.DUMMYFUNCTION("""COMPUTED_VALUE"""),"https://doi.org/10.1109/Metamaterials58257.2023.10289391")</f>
        <v>https://doi.org/10.1109/Metamaterials58257.2023.10289391</v>
      </c>
      <c r="AC331" s="165"/>
    </row>
    <row r="332" ht="15.75" customHeight="1">
      <c r="F332" s="205"/>
      <c r="G332" s="206"/>
      <c r="V332" s="207"/>
      <c r="W332" s="207"/>
      <c r="X332" s="206"/>
      <c r="Z332" s="165" t="str">
        <f>IFERROR(__xludf.DUMMYFUNCTION("""COMPUTED_VALUE"""),"Perfect pulse filtering under simultaneous incidence at the same frequencies with waveform-selective metasurfaces")</f>
        <v>Perfect pulse filtering under simultaneous incidence at the same frequencies with waveform-selective metasurfaces</v>
      </c>
      <c r="AA332" s="165" t="str">
        <f>IFERROR(__xludf.DUMMYFUNCTION("""COMPUTED_VALUE"""),"Published")</f>
        <v>Published</v>
      </c>
      <c r="AB332" s="166" t="str">
        <f>IFERROR(__xludf.DUMMYFUNCTION("""COMPUTED_VALUE"""),"https://doi.org/10.1063/5.0161337")</f>
        <v>https://doi.org/10.1063/5.0161337</v>
      </c>
      <c r="AC332" s="165"/>
    </row>
    <row r="333" ht="15.75" customHeight="1">
      <c r="F333" s="205"/>
      <c r="G333" s="206"/>
      <c r="V333" s="207"/>
      <c r="W333" s="207"/>
      <c r="X333" s="206"/>
      <c r="Z333" s="165" t="str">
        <f>IFERROR(__xludf.DUMMYFUNCTION("""COMPUTED_VALUE"""),"Performance Evaluation of LoRaWAN in Pulse Status Monitoring with Clustering of Wireless Sensor Network")</f>
        <v>Performance Evaluation of LoRaWAN in Pulse Status Monitoring with Clustering of Wireless Sensor Network</v>
      </c>
      <c r="AA333" s="165" t="str">
        <f>IFERROR(__xludf.DUMMYFUNCTION("""COMPUTED_VALUE"""),"Published")</f>
        <v>Published</v>
      </c>
      <c r="AB333" s="166" t="str">
        <f>IFERROR(__xludf.DUMMYFUNCTION("""COMPUTED_VALUE"""),"https://doi.org/10.1109/ICSINTESA56431.2022.10041694")</f>
        <v>https://doi.org/10.1109/ICSINTESA56431.2022.10041694</v>
      </c>
      <c r="AC333" s="165"/>
    </row>
    <row r="334" ht="15.75" customHeight="1">
      <c r="F334" s="205"/>
      <c r="G334" s="206"/>
      <c r="V334" s="207"/>
      <c r="W334" s="207"/>
      <c r="X334" s="206"/>
      <c r="Z334" s="165" t="str">
        <f>IFERROR(__xludf.DUMMYFUNCTION("""COMPUTED_VALUE"""),"Performance LoRa Technology for Autonomous Vehicles")</f>
        <v>Performance LoRa Technology for Autonomous Vehicles</v>
      </c>
      <c r="AA334" s="165" t="str">
        <f>IFERROR(__xludf.DUMMYFUNCTION("""COMPUTED_VALUE"""),"Published")</f>
        <v>Published</v>
      </c>
      <c r="AB334" s="166" t="str">
        <f>IFERROR(__xludf.DUMMYFUNCTION("""COMPUTED_VALUE"""),"https://doi.org/10.1109/ISITIA59021.2023.10221049")</f>
        <v>https://doi.org/10.1109/ISITIA59021.2023.10221049</v>
      </c>
      <c r="AC334" s="166" t="str">
        <f>IFERROR(__xludf.DUMMYFUNCTION("""COMPUTED_VALUE"""),"https://drive.google.com/open?id=1I299TKr285sw9iNzRgsQVXhW6aAfvh0Y")</f>
        <v>https://drive.google.com/open?id=1I299TKr285sw9iNzRgsQVXhW6aAfvh0Y</v>
      </c>
    </row>
    <row r="335" ht="15.75" customHeight="1">
      <c r="F335" s="205"/>
      <c r="G335" s="206"/>
      <c r="V335" s="207"/>
      <c r="W335" s="207"/>
      <c r="X335" s="206"/>
      <c r="Z335" s="165" t="str">
        <f>IFERROR(__xludf.DUMMYFUNCTION("""COMPUTED_VALUE"""),"Preliminary Assessment of Using Spanning Tree Open Protocols in INA-CBT Communication System")</f>
        <v>Preliminary Assessment of Using Spanning Tree Open Protocols in INA-CBT Communication System</v>
      </c>
      <c r="AA335" s="165" t="str">
        <f>IFERROR(__xludf.DUMMYFUNCTION("""COMPUTED_VALUE"""),"Published")</f>
        <v>Published</v>
      </c>
      <c r="AB335" s="166" t="str">
        <f>IFERROR(__xludf.DUMMYFUNCTION("""COMPUTED_VALUE"""),"https://doi.org/10.1145/3575882.3575884")</f>
        <v>https://doi.org/10.1145/3575882.3575884</v>
      </c>
      <c r="AC335" s="165"/>
    </row>
    <row r="336" ht="15.75" customHeight="1">
      <c r="F336" s="205"/>
      <c r="G336" s="206"/>
      <c r="V336" s="207"/>
      <c r="W336" s="207"/>
      <c r="X336" s="206"/>
      <c r="Z336" s="165" t="str">
        <f>IFERROR(__xludf.DUMMYFUNCTION("""COMPUTED_VALUE"""),"Pulse-Driven Self-Reconfigurable Meta-Antennas")</f>
        <v>Pulse-Driven Self-Reconfigurable Meta-Antennas</v>
      </c>
      <c r="AA336" s="165" t="str">
        <f>IFERROR(__xludf.DUMMYFUNCTION("""COMPUTED_VALUE"""),"Published")</f>
        <v>Published</v>
      </c>
      <c r="AB336" s="166" t="str">
        <f>IFERROR(__xludf.DUMMYFUNCTION("""COMPUTED_VALUE"""),"https://doi.org/10.1038/s41467-023-36342-1")</f>
        <v>https://doi.org/10.1038/s41467-023-36342-1</v>
      </c>
      <c r="AC336" s="165"/>
    </row>
    <row r="337" ht="15.75" customHeight="1">
      <c r="F337" s="205"/>
      <c r="G337" s="206"/>
      <c r="V337" s="207"/>
      <c r="W337" s="207"/>
      <c r="X337" s="206"/>
      <c r="Z337" s="165" t="str">
        <f>IFERROR(__xludf.DUMMYFUNCTION("""COMPUTED_VALUE"""),"Robust Biocomposite Film of Polylactic Acid and Ferroferric Oxide
as a Radar Absorbing Material")</f>
        <v>Robust Biocomposite Film of Polylactic Acid and Ferroferric Oxide
as a Radar Absorbing Material</v>
      </c>
      <c r="AA337" s="165" t="str">
        <f>IFERROR(__xludf.DUMMYFUNCTION("""COMPUTED_VALUE"""),"Published")</f>
        <v>Published</v>
      </c>
      <c r="AB337" s="166" t="str">
        <f>IFERROR(__xludf.DUMMYFUNCTION("""COMPUTED_VALUE""")," https://doi.org/10.22146/ijc.79089")</f>
        <v> https://doi.org/10.22146/ijc.79089</v>
      </c>
      <c r="AC337" s="165"/>
    </row>
    <row r="338" ht="15.75" customHeight="1">
      <c r="F338" s="205"/>
      <c r="G338" s="206"/>
      <c r="V338" s="207"/>
      <c r="W338" s="207"/>
      <c r="X338" s="206"/>
      <c r="Z338" s="165" t="str">
        <f>IFERROR(__xludf.DUMMYFUNCTION("""COMPUTED_VALUE"""),"Segmentation of weeds and crops using multispectral imaging and CRF-enhanced U-Net")</f>
        <v>Segmentation of weeds and crops using multispectral imaging and CRF-enhanced U-Net</v>
      </c>
      <c r="AA338" s="165" t="str">
        <f>IFERROR(__xludf.DUMMYFUNCTION("""COMPUTED_VALUE"""),"Published")</f>
        <v>Published</v>
      </c>
      <c r="AB338" s="166" t="str">
        <f>IFERROR(__xludf.DUMMYFUNCTION("""COMPUTED_VALUE"""),"https://doi.org/10.1016/j.compag.2023.107956")</f>
        <v>https://doi.org/10.1016/j.compag.2023.107956</v>
      </c>
      <c r="AC338" s="166" t="str">
        <f>IFERROR(__xludf.DUMMYFUNCTION("""COMPUTED_VALUE"""),"https://drive.google.com/open?id=1NSclNNTBrZgrl7DNqmkWFnWdJNrAflCM")</f>
        <v>https://drive.google.com/open?id=1NSclNNTBrZgrl7DNqmkWFnWdJNrAflCM</v>
      </c>
    </row>
    <row r="339" ht="15.75" customHeight="1">
      <c r="F339" s="205"/>
      <c r="G339" s="206"/>
      <c r="V339" s="207"/>
      <c r="W339" s="207"/>
      <c r="X339" s="206"/>
      <c r="Z339" s="165" t="str">
        <f>IFERROR(__xludf.DUMMYFUNCTION("""COMPUTED_VALUE"""),"Studies in crystal structure and electromagnetic absorption properties of (x)Bi0.5Na0.5TiO3/(1-x)La0.8Ba0.2MnO3 composites ")</f>
        <v>Studies in crystal structure and electromagnetic absorption properties of (x)Bi0.5Na0.5TiO3/(1-x)La0.8Ba0.2MnO3 composites </v>
      </c>
      <c r="AA339" s="165" t="str">
        <f>IFERROR(__xludf.DUMMYFUNCTION("""COMPUTED_VALUE"""),"Published")</f>
        <v>Published</v>
      </c>
      <c r="AB339" s="166" t="str">
        <f>IFERROR(__xludf.DUMMYFUNCTION("""COMPUTED_VALUE"""),"https://doi.org/10.1063/5.0116421")</f>
        <v>https://doi.org/10.1063/5.0116421</v>
      </c>
      <c r="AC339" s="165"/>
    </row>
    <row r="340" ht="15.75" customHeight="1">
      <c r="F340" s="205"/>
      <c r="G340" s="206"/>
      <c r="V340" s="207"/>
      <c r="W340" s="207"/>
      <c r="X340" s="206"/>
      <c r="Z340" s="165" t="str">
        <f>IFERROR(__xludf.DUMMYFUNCTION("""COMPUTED_VALUE"""),"Synthesis, structural, and microwave absorption properties of
hematite (α-Fe2O3) and maghemite (γ-Fe2O3)")</f>
        <v>Synthesis, structural, and microwave absorption properties of
hematite (α-Fe2O3) and maghemite (γ-Fe2O3)</v>
      </c>
      <c r="AA340" s="165" t="str">
        <f>IFERROR(__xludf.DUMMYFUNCTION("""COMPUTED_VALUE"""),"Published")</f>
        <v>Published</v>
      </c>
      <c r="AB340" s="166" t="str">
        <f>IFERROR(__xludf.DUMMYFUNCTION("""COMPUTED_VALUE"""),"https://doi.org/10.1088/1402-4896/acdd2b
")</f>
        <v>https://doi.org/10.1088/1402-4896/acdd2b
</v>
      </c>
      <c r="AC340" s="166" t="str">
        <f>IFERROR(__xludf.DUMMYFUNCTION("""COMPUTED_VALUE"""),"https://drive.google.com/open?id=1SHR1V3BWSBcIaeU9ud2DBrssMc7r6ntW")</f>
        <v>https://drive.google.com/open?id=1SHR1V3BWSBcIaeU9ud2DBrssMc7r6ntW</v>
      </c>
    </row>
    <row r="341" ht="15.75" customHeight="1">
      <c r="F341" s="205"/>
      <c r="G341" s="206"/>
      <c r="V341" s="207"/>
      <c r="W341" s="207"/>
      <c r="X341" s="206"/>
      <c r="Z341" s="165" t="str">
        <f>IFERROR(__xludf.DUMMYFUNCTION("""COMPUTED_VALUE"""),"The Design of Metasurface Absorber Based on the Ring-shaped Resonator Lumped with Nonlinear Circuit for a Pulse Wave")</f>
        <v>The Design of Metasurface Absorber Based on the Ring-shaped Resonator Lumped with Nonlinear Circuit for a Pulse Wave</v>
      </c>
      <c r="AA341" s="165" t="str">
        <f>IFERROR(__xludf.DUMMYFUNCTION("""COMPUTED_VALUE"""),"Published")</f>
        <v>Published</v>
      </c>
      <c r="AB341" s="166" t="str">
        <f>IFERROR(__xludf.DUMMYFUNCTION("""COMPUTED_VALUE"""),"https://doi.org/10.11999/JEIT221435")</f>
        <v>https://doi.org/10.11999/JEIT221435</v>
      </c>
      <c r="AC341" s="166" t="str">
        <f>IFERROR(__xludf.DUMMYFUNCTION("""COMPUTED_VALUE"""),"https://drive.google.com/open?id=19CcdWwcEy9wAwMLvHNQd2kBkmSJl1v3Q")</f>
        <v>https://drive.google.com/open?id=19CcdWwcEy9wAwMLvHNQd2kBkmSJl1v3Q</v>
      </c>
    </row>
    <row r="342" ht="15.75" customHeight="1">
      <c r="F342" s="205"/>
      <c r="G342" s="206"/>
      <c r="V342" s="207"/>
      <c r="W342" s="207"/>
      <c r="X342" s="206"/>
      <c r="Z342" s="165" t="str">
        <f>IFERROR(__xludf.DUMMYFUNCTION("""COMPUTED_VALUE"""),"The Effect of Fiber Bragg Grating (FBG) Sensors on Data Channel of Fiber Optic Communication (FOC) System")</f>
        <v>The Effect of Fiber Bragg Grating (FBG) Sensors on Data Channel of Fiber Optic Communication (FOC) System</v>
      </c>
      <c r="AA342" s="165" t="str">
        <f>IFERROR(__xludf.DUMMYFUNCTION("""COMPUTED_VALUE"""),"Published")</f>
        <v>Published</v>
      </c>
      <c r="AB342" s="166" t="str">
        <f>IFERROR(__xludf.DUMMYFUNCTION("""COMPUTED_VALUE"""),"https://doi.org/10.1145/3575882.3575890")</f>
        <v>https://doi.org/10.1145/3575882.3575890</v>
      </c>
      <c r="AC342" s="165"/>
    </row>
    <row r="343" ht="15.75" customHeight="1">
      <c r="F343" s="205"/>
      <c r="G343" s="206"/>
      <c r="V343" s="207"/>
      <c r="W343" s="207"/>
      <c r="X343" s="206"/>
      <c r="Z343" s="165" t="str">
        <f>IFERROR(__xludf.DUMMYFUNCTION("""COMPUTED_VALUE"""),"The Error Rate Analyze and parameter measurement on LoRa Communication for Health Monitoring")</f>
        <v>The Error Rate Analyze and parameter measurement on LoRa Communication for Health Monitoring</v>
      </c>
      <c r="AA343" s="165" t="str">
        <f>IFERROR(__xludf.DUMMYFUNCTION("""COMPUTED_VALUE"""),"Published")</f>
        <v>Published</v>
      </c>
      <c r="AB343" s="166" t="str">
        <f>IFERROR(__xludf.DUMMYFUNCTION("""COMPUTED_VALUE"""),"https://doi.org/10.1016/j.micpro.2023.104820")</f>
        <v>https://doi.org/10.1016/j.micpro.2023.104820</v>
      </c>
      <c r="AC343" s="165"/>
    </row>
    <row r="344" ht="15.75" customHeight="1">
      <c r="F344" s="205"/>
      <c r="G344" s="206"/>
      <c r="V344" s="207"/>
      <c r="W344" s="207"/>
      <c r="X344" s="206"/>
      <c r="Z344" s="165" t="str">
        <f>IFERROR(__xludf.DUMMYFUNCTION("""COMPUTED_VALUE"""),"The Impact of Downsampling Methods on Face Recognition in Electronic Identity Card")</f>
        <v>The Impact of Downsampling Methods on Face Recognition in Electronic Identity Card</v>
      </c>
      <c r="AA344" s="165" t="str">
        <f>IFERROR(__xludf.DUMMYFUNCTION("""COMPUTED_VALUE"""),"Published")</f>
        <v>Published</v>
      </c>
      <c r="AB344" s="166" t="str">
        <f>IFERROR(__xludf.DUMMYFUNCTION("""COMPUTED_VALUE"""),"https://doi.org/10.1109/IC3INA60834.2023.10285777")</f>
        <v>https://doi.org/10.1109/IC3INA60834.2023.10285777</v>
      </c>
      <c r="AC344" s="166" t="str">
        <f>IFERROR(__xludf.DUMMYFUNCTION("""COMPUTED_VALUE"""),"https://drive.google.com/open?id=11lAWl17zwv9NHv0P5V3xSRC_6gJjb0HY")</f>
        <v>https://drive.google.com/open?id=11lAWl17zwv9NHv0P5V3xSRC_6gJjb0HY</v>
      </c>
    </row>
    <row r="345" ht="15.75" customHeight="1">
      <c r="F345" s="205"/>
      <c r="G345" s="206"/>
      <c r="V345" s="207"/>
      <c r="W345" s="207"/>
      <c r="X345" s="206"/>
      <c r="Z345" s="165" t="str">
        <f>IFERROR(__xludf.DUMMYFUNCTION("""COMPUTED_VALUE"""),"The Scientific Progress and Prospects of Artificial Intelligence for Cancer Detection: A Bibliometric Analysis")</f>
        <v>The Scientific Progress and Prospects of Artificial Intelligence for Cancer Detection: A Bibliometric Analysis</v>
      </c>
      <c r="AA345" s="165" t="str">
        <f>IFERROR(__xludf.DUMMYFUNCTION("""COMPUTED_VALUE"""),"Published")</f>
        <v>Published</v>
      </c>
      <c r="AB345" s="166" t="str">
        <f>IFERROR(__xludf.DUMMYFUNCTION("""COMPUTED_VALUE"""),"https://doi.org/10.1109/ISITIA59021.2023.10221162")</f>
        <v>https://doi.org/10.1109/ISITIA59021.2023.10221162</v>
      </c>
      <c r="AC345" s="166" t="str">
        <f>IFERROR(__xludf.DUMMYFUNCTION("""COMPUTED_VALUE"""),"https://drive.google.com/open?id=1M5I-2UCVXUSGtOHzPStPZKaKvTiXDx08")</f>
        <v>https://drive.google.com/open?id=1M5I-2UCVXUSGtOHzPStPZKaKvTiXDx08</v>
      </c>
    </row>
    <row r="346" ht="15.75" customHeight="1">
      <c r="F346" s="205"/>
      <c r="G346" s="206"/>
      <c r="V346" s="207"/>
      <c r="W346" s="207"/>
      <c r="X346" s="206"/>
      <c r="Z346" s="165" t="str">
        <f>IFERROR(__xludf.DUMMYFUNCTION("""COMPUTED_VALUE"""),"The Use of Tragacanth as a Gelling Agent in Roselle Flower Extract based Radiochromic Indicators")</f>
        <v>The Use of Tragacanth as a Gelling Agent in Roselle Flower Extract based Radiochromic Indicators</v>
      </c>
      <c r="AA346" s="165" t="str">
        <f>IFERROR(__xludf.DUMMYFUNCTION("""COMPUTED_VALUE"""),"Published")</f>
        <v>Published</v>
      </c>
      <c r="AB346" s="166" t="str">
        <f>IFERROR(__xludf.DUMMYFUNCTION("""COMPUTED_VALUE"""),"https://doi.org/10.18517/ijaseit.13.5.18750")</f>
        <v>https://doi.org/10.18517/ijaseit.13.5.18750</v>
      </c>
      <c r="AC346" s="166" t="str">
        <f>IFERROR(__xludf.DUMMYFUNCTION("""COMPUTED_VALUE"""),"https://www.scopus.com/record/display.uri?eid=2-s2.0-85175009623&amp;origin=resultslist&amp;sort=plf-f&amp;src=s&amp;sid=e9b5ed1022cad3285cb45be9bf1d4183&amp;sot=b&amp;sdt=b&amp;s=TITLE-ABS-KEY%28The+Use+of+Tragacanth+as+a+Gelling+Agent+in+Roselle+Flower+Extract+based+Radiochromic+I"&amp;"ndicators%29&amp;sl=111&amp;sessionSearchId=e9b5ed1022cad3285cb45be9bf1d4183&amp;relpos=0")</f>
        <v>https://www.scopus.com/record/display.uri?eid=2-s2.0-85175009623&amp;origin=resultslist&amp;sort=plf-f&amp;src=s&amp;sid=e9b5ed1022cad3285cb45be9bf1d4183&amp;sot=b&amp;sdt=b&amp;s=TITLE-ABS-KEY%28The+Use+of+Tragacanth+as+a+Gelling+Agent+in+Roselle+Flower+Extract+based+Radiochromic+Indicators%29&amp;sl=111&amp;sessionSearchId=e9b5ed1022cad3285cb45be9bf1d4183&amp;relpos=0</v>
      </c>
    </row>
    <row r="347" ht="15.75" customHeight="1">
      <c r="F347" s="205"/>
      <c r="G347" s="206"/>
      <c r="V347" s="207"/>
      <c r="W347" s="207"/>
      <c r="X347" s="206"/>
      <c r="Z347" s="166" t="str">
        <f>IFERROR(__xludf.DUMMYFUNCTION("""COMPUTED_VALUE"""),"Time of Flight Lidar Employing Dual-Modulation Frequencies Switching for Optimizing Unambiguous Range Extension and High Resolution")</f>
        <v>Time of Flight Lidar Employing Dual-Modulation Frequencies Switching for Optimizing Unambiguous Range Extension and High Resolution</v>
      </c>
      <c r="AA347" s="165" t="str">
        <f>IFERROR(__xludf.DUMMYFUNCTION("""COMPUTED_VALUE"""),"Published")</f>
        <v>Published</v>
      </c>
      <c r="AB347" s="166" t="str">
        <f>IFERROR(__xludf.DUMMYFUNCTION("""COMPUTED_VALUE"""),"https://doi.org/10.1109/TIM.2023.3235450")</f>
        <v>https://doi.org/10.1109/TIM.2023.3235450</v>
      </c>
      <c r="AC347" s="165"/>
    </row>
    <row r="348" ht="15.75" customHeight="1">
      <c r="F348" s="205"/>
      <c r="G348" s="206"/>
      <c r="V348" s="207"/>
      <c r="W348" s="207"/>
      <c r="X348" s="206"/>
      <c r="Z348" s="165" t="str">
        <f>IFERROR(__xludf.DUMMYFUNCTION("""COMPUTED_VALUE"""),"Twitter Data Sentiment Analysis of COVID-19 Vaccination using Machine Learning")</f>
        <v>Twitter Data Sentiment Analysis of COVID-19 Vaccination using Machine Learning</v>
      </c>
      <c r="AA348" s="165" t="str">
        <f>IFERROR(__xludf.DUMMYFUNCTION("""COMPUTED_VALUE"""),"Published")</f>
        <v>Published</v>
      </c>
      <c r="AB348" s="166" t="str">
        <f>IFERROR(__xludf.DUMMYFUNCTION("""COMPUTED_VALUE"""),"https://doi.org/10.1109/ISRITI56927.2022.10053035")</f>
        <v>https://doi.org/10.1109/ISRITI56927.2022.10053035</v>
      </c>
      <c r="AC348" s="165"/>
    </row>
    <row r="349" ht="15.75" customHeight="1">
      <c r="F349" s="205"/>
      <c r="G349" s="206"/>
      <c r="V349" s="207"/>
      <c r="W349" s="207"/>
      <c r="X349" s="206"/>
      <c r="Z349" s="165" t="str">
        <f>IFERROR(__xludf.DUMMYFUNCTION("""COMPUTED_VALUE"""),"Unsynchronized Reconfigurable Intelligent Surfaces With Pulse-Width-Based Design")</f>
        <v>Unsynchronized Reconfigurable Intelligent Surfaces With Pulse-Width-Based Design</v>
      </c>
      <c r="AA349" s="165" t="str">
        <f>IFERROR(__xludf.DUMMYFUNCTION("""COMPUTED_VALUE"""),"Published")</f>
        <v>Published</v>
      </c>
      <c r="AB349" s="166" t="str">
        <f>IFERROR(__xludf.DUMMYFUNCTION("""COMPUTED_VALUE"""),"https://doi.org/10.48550/arXiv.2212.10033
")</f>
        <v>https://doi.org/10.48550/arXiv.2212.10033
</v>
      </c>
      <c r="AC349" s="166" t="str">
        <f>IFERROR(__xludf.DUMMYFUNCTION("""COMPUTED_VALUE"""),"https://drive.google.com/open?id=1DNHE2NV4l8FDS19zII0dw0PXaQRyiCm4")</f>
        <v>https://drive.google.com/open?id=1DNHE2NV4l8FDS19zII0dw0PXaQRyiCm4</v>
      </c>
    </row>
    <row r="350" ht="15.75" customHeight="1">
      <c r="F350" s="205"/>
      <c r="G350" s="206"/>
      <c r="V350" s="207"/>
      <c r="W350" s="207"/>
      <c r="X350" s="206"/>
      <c r="Z350" s="165" t="str">
        <f>IFERROR(__xludf.DUMMYFUNCTION("""COMPUTED_VALUE"""),"Waveform-selective Metasurface Absorber with a Single-patch Structure and Lumped Nonlinear Circuit for a Higher-order Mode")</f>
        <v>Waveform-selective Metasurface Absorber with a Single-patch Structure and Lumped Nonlinear Circuit for a Higher-order Mode</v>
      </c>
      <c r="AA350" s="165" t="str">
        <f>IFERROR(__xludf.DUMMYFUNCTION("""COMPUTED_VALUE"""),"Published")</f>
        <v>Published</v>
      </c>
      <c r="AB350" s="166" t="str">
        <f>IFERROR(__xludf.DUMMYFUNCTION("""COMPUTED_VALUE"""),"https://doi.org/10.1109/TAP.2023.3308581")</f>
        <v>https://doi.org/10.1109/TAP.2023.3308581</v>
      </c>
      <c r="AC350" s="166" t="str">
        <f>IFERROR(__xludf.DUMMYFUNCTION("""COMPUTED_VALUE"""),"https://ieeexplore.ieee.org/abstract/document/10235878")</f>
        <v>https://ieeexplore.ieee.org/abstract/document/10235878</v>
      </c>
    </row>
    <row r="351" ht="15.75" customHeight="1">
      <c r="F351" s="205"/>
      <c r="G351" s="206"/>
      <c r="V351" s="207"/>
      <c r="W351" s="207"/>
      <c r="X351" s="206"/>
      <c r="Z351" s="165" t="str">
        <f>IFERROR(__xludf.DUMMYFUNCTION("""COMPUTED_VALUE"""),"The Implementation of Compressive Sensing Architecture for Endoscopy Image Acquisition and Reconstruction over Body-to-body Networks")</f>
        <v>The Implementation of Compressive Sensing Architecture for Endoscopy Image Acquisition and Reconstruction over Body-to-body Networks</v>
      </c>
      <c r="AA351" s="165" t="str">
        <f>IFERROR(__xludf.DUMMYFUNCTION("""COMPUTED_VALUE"""),"Published")</f>
        <v>Published</v>
      </c>
      <c r="AB351" s="166" t="str">
        <f>IFERROR(__xludf.DUMMYFUNCTION("""COMPUTED_VALUE"""),"https://doi.org/10.1109/ICCE-Asia59966.2023.10326421")</f>
        <v>https://doi.org/10.1109/ICCE-Asia59966.2023.10326421</v>
      </c>
      <c r="AC351" s="166" t="str">
        <f>IFERROR(__xludf.DUMMYFUNCTION("""COMPUTED_VALUE"""),"https://ieeexplore.ieee.org/document/10326421")</f>
        <v>https://ieeexplore.ieee.org/document/10326421</v>
      </c>
    </row>
    <row r="352" ht="15.75" customHeight="1">
      <c r="F352" s="205"/>
      <c r="G352" s="206"/>
      <c r="V352" s="207"/>
      <c r="W352" s="207"/>
      <c r="X352" s="206"/>
      <c r="Z352" s="165" t="str">
        <f>IFERROR(__xludf.DUMMYFUNCTION("""COMPUTED_VALUE"""),"A Filtenna Design for Ku-Band Satellite Mobile Terminal")</f>
        <v>A Filtenna Design for Ku-Band Satellite Mobile Terminal</v>
      </c>
      <c r="AA352" s="165" t="str">
        <f>IFERROR(__xludf.DUMMYFUNCTION("""COMPUTED_VALUE"""),"Published")</f>
        <v>Published</v>
      </c>
      <c r="AB352" s="166" t="str">
        <f>IFERROR(__xludf.DUMMYFUNCTION("""COMPUTED_VALUE"""),"https://doi.org/10.1109/ICRAMET60171.2023.10366708")</f>
        <v>https://doi.org/10.1109/ICRAMET60171.2023.10366708</v>
      </c>
      <c r="AC352" s="166" t="str">
        <f>IFERROR(__xludf.DUMMYFUNCTION("""COMPUTED_VALUE"""),"https://drive.google.com/open?id=1gMHe1VjGtj4sZC_7ky_bchAV3KOfWazb")</f>
        <v>https://drive.google.com/open?id=1gMHe1VjGtj4sZC_7ky_bchAV3KOfWazb</v>
      </c>
    </row>
    <row r="353" ht="15.75" customHeight="1">
      <c r="F353" s="205"/>
      <c r="G353" s="206"/>
      <c r="V353" s="207"/>
      <c r="W353" s="207"/>
      <c r="X353" s="206"/>
      <c r="Z353" s="165" t="str">
        <f>IFERROR(__xludf.DUMMYFUNCTION("""COMPUTED_VALUE"""),"Cognitive Linear Trajectory on GPR Imaging Using Lightweight Machine Learning")</f>
        <v>Cognitive Linear Trajectory on GPR Imaging Using Lightweight Machine Learning</v>
      </c>
      <c r="AA353" s="165" t="str">
        <f>IFERROR(__xludf.DUMMYFUNCTION("""COMPUTED_VALUE"""),"Published")</f>
        <v>Published</v>
      </c>
      <c r="AB353" s="166" t="str">
        <f>IFERROR(__xludf.DUMMYFUNCTION("""COMPUTED_VALUE"""),"https://doi.org/10.1109/ICRAMET60171.2023.10366779")</f>
        <v>https://doi.org/10.1109/ICRAMET60171.2023.10366779</v>
      </c>
      <c r="AC353" s="166" t="str">
        <f>IFERROR(__xludf.DUMMYFUNCTION("""COMPUTED_VALUE"""),"https://drive.google.com/open?id=1UtbtuvrgyDMrKqgOHuP3XU2SyYtthTgk")</f>
        <v>https://drive.google.com/open?id=1UtbtuvrgyDMrKqgOHuP3XU2SyYtthTgk</v>
      </c>
    </row>
    <row r="354" ht="15.75" customHeight="1">
      <c r="F354" s="205"/>
      <c r="G354" s="206"/>
      <c r="V354" s="207"/>
      <c r="W354" s="207"/>
      <c r="X354" s="206"/>
      <c r="Z354" s="165" t="str">
        <f>IFERROR(__xludf.DUMMYFUNCTION("""COMPUTED_VALUE"""),"Cognitive Load Assessment through Power Spectral Density in EEG")</f>
        <v>Cognitive Load Assessment through Power Spectral Density in EEG</v>
      </c>
      <c r="AA354" s="165" t="str">
        <f>IFERROR(__xludf.DUMMYFUNCTION("""COMPUTED_VALUE"""),"Published")</f>
        <v>Published</v>
      </c>
      <c r="AB354" s="166" t="str">
        <f>IFERROR(__xludf.DUMMYFUNCTION("""COMPUTED_VALUE"""),"https://doi.org/10.1109/ICRAMET60171.2023.10366554")</f>
        <v>https://doi.org/10.1109/ICRAMET60171.2023.10366554</v>
      </c>
      <c r="AC354" s="165"/>
    </row>
    <row r="355" ht="15.75" customHeight="1">
      <c r="F355" s="205"/>
      <c r="G355" s="206"/>
      <c r="V355" s="207"/>
      <c r="W355" s="207"/>
      <c r="X355" s="206"/>
      <c r="Z355" s="165" t="str">
        <f>IFERROR(__xludf.DUMMYFUNCTION("""COMPUTED_VALUE"""),"Design of K-band Metasurface Beam Splitter")</f>
        <v>Design of K-band Metasurface Beam Splitter</v>
      </c>
      <c r="AA355" s="165" t="str">
        <f>IFERROR(__xludf.DUMMYFUNCTION("""COMPUTED_VALUE"""),"Published")</f>
        <v>Published</v>
      </c>
      <c r="AB355" s="166" t="str">
        <f>IFERROR(__xludf.DUMMYFUNCTION("""COMPUTED_VALUE"""),"https://doi.org/10.1109/ICRAMET60171.2023.10366544")</f>
        <v>https://doi.org/10.1109/ICRAMET60171.2023.10366544</v>
      </c>
      <c r="AC355" s="166" t="str">
        <f>IFERROR(__xludf.DUMMYFUNCTION("""COMPUTED_VALUE"""),"https://conference.brin.go.id/icramet2023/")</f>
        <v>https://conference.brin.go.id/icramet2023/</v>
      </c>
    </row>
    <row r="356" ht="15.75" customHeight="1">
      <c r="F356" s="205"/>
      <c r="G356" s="206"/>
      <c r="V356" s="207"/>
      <c r="W356" s="207"/>
      <c r="X356" s="206"/>
      <c r="Z356" s="165" t="str">
        <f>IFERROR(__xludf.DUMMYFUNCTION("""COMPUTED_VALUE"""),"General matrix multiplication (GEMM) evaluation on Cyclone V SoC FPGA using OpenCL")</f>
        <v>General matrix multiplication (GEMM) evaluation on Cyclone V SoC FPGA using OpenCL</v>
      </c>
      <c r="AA356" s="165" t="str">
        <f>IFERROR(__xludf.DUMMYFUNCTION("""COMPUTED_VALUE"""),"Published")</f>
        <v>Published</v>
      </c>
      <c r="AB356" s="166" t="str">
        <f>IFERROR(__xludf.DUMMYFUNCTION("""COMPUTED_VALUE"""),"https://doi.org/10.1109/ICRAMET60171.2023.10366619")</f>
        <v>https://doi.org/10.1109/ICRAMET60171.2023.10366619</v>
      </c>
      <c r="AC356" s="166" t="str">
        <f>IFERROR(__xludf.DUMMYFUNCTION("""COMPUTED_VALUE"""),"https://drive.google.com/open?id=1q8FEqzYxsmQAGo82DSw5NqseURyZL7gL")</f>
        <v>https://drive.google.com/open?id=1q8FEqzYxsmQAGo82DSw5NqseURyZL7gL</v>
      </c>
    </row>
    <row r="357" ht="15.75" customHeight="1">
      <c r="F357" s="205"/>
      <c r="G357" s="206"/>
      <c r="V357" s="207"/>
      <c r="W357" s="207"/>
      <c r="X357" s="206"/>
      <c r="Z357" s="165" t="str">
        <f>IFERROR(__xludf.DUMMYFUNCTION("""COMPUTED_VALUE"""),"Implementation of Kalman Filter for Stabilizing Ultrasonic Sensor Reading on Distilled Ethanol Levels Measurement")</f>
        <v>Implementation of Kalman Filter for Stabilizing Ultrasonic Sensor Reading on Distilled Ethanol Levels Measurement</v>
      </c>
      <c r="AA357" s="165" t="str">
        <f>IFERROR(__xludf.DUMMYFUNCTION("""COMPUTED_VALUE"""),"Published")</f>
        <v>Published</v>
      </c>
      <c r="AB357" s="166" t="str">
        <f>IFERROR(__xludf.DUMMYFUNCTION("""COMPUTED_VALUE"""),"https://doi.org/10.1109/ICRAMET60171.2023.10366700")</f>
        <v>https://doi.org/10.1109/ICRAMET60171.2023.10366700</v>
      </c>
      <c r="AC357" s="166" t="str">
        <f>IFERROR(__xludf.DUMMYFUNCTION("""COMPUTED_VALUE"""),"https://drive.google.com/open?id=1hsF7BQ-vZI4cogPQCKVs95mncwPSQRy_")</f>
        <v>https://drive.google.com/open?id=1hsF7BQ-vZI4cogPQCKVs95mncwPSQRy_</v>
      </c>
    </row>
    <row r="358" ht="15.75" customHeight="1">
      <c r="F358" s="205"/>
      <c r="G358" s="206"/>
      <c r="V358" s="207"/>
      <c r="W358" s="207"/>
      <c r="X358" s="206"/>
      <c r="Z358" s="165" t="str">
        <f>IFERROR(__xludf.DUMMYFUNCTION("""COMPUTED_VALUE"""),"On Modeling a Bottleneck Link using Dummynet")</f>
        <v>On Modeling a Bottleneck Link using Dummynet</v>
      </c>
      <c r="AA358" s="165" t="str">
        <f>IFERROR(__xludf.DUMMYFUNCTION("""COMPUTED_VALUE"""),"Published")</f>
        <v>Published</v>
      </c>
      <c r="AB358" s="166" t="str">
        <f>IFERROR(__xludf.DUMMYFUNCTION("""COMPUTED_VALUE"""),"https://doi.org/10.1109/ICRAMET60171.2023.10366590")</f>
        <v>https://doi.org/10.1109/ICRAMET60171.2023.10366590</v>
      </c>
      <c r="AC358" s="166" t="str">
        <f>IFERROR(__xludf.DUMMYFUNCTION("""COMPUTED_VALUE"""),"https://drive.google.com/open?id=1_x_t5SmBADlYiuzpHY8NciIrPRevveat")</f>
        <v>https://drive.google.com/open?id=1_x_t5SmBADlYiuzpHY8NciIrPRevveat</v>
      </c>
    </row>
    <row r="359" ht="15.75" customHeight="1">
      <c r="F359" s="205"/>
      <c r="G359" s="206"/>
      <c r="V359" s="207"/>
      <c r="W359" s="207"/>
      <c r="X359" s="206"/>
      <c r="Z359" s="165" t="str">
        <f>IFERROR(__xludf.DUMMYFUNCTION("""COMPUTED_VALUE"""),"Performance Evaluation of LoRa RFM96 on IoT Telkom Indonesia")</f>
        <v>Performance Evaluation of LoRa RFM96 on IoT Telkom Indonesia</v>
      </c>
      <c r="AA359" s="165" t="str">
        <f>IFERROR(__xludf.DUMMYFUNCTION("""COMPUTED_VALUE"""),"Published")</f>
        <v>Published</v>
      </c>
      <c r="AB359" s="166" t="str">
        <f>IFERROR(__xludf.DUMMYFUNCTION("""COMPUTED_VALUE"""),"https://doi.org/10.1109/ICRAMET60171.2023.10366729")</f>
        <v>https://doi.org/10.1109/ICRAMET60171.2023.10366729</v>
      </c>
      <c r="AC359" s="166" t="str">
        <f>IFERROR(__xludf.DUMMYFUNCTION("""COMPUTED_VALUE"""),"https://drive.google.com/open?id=1sw5Nu0vASMzH5PMrvOdRUSd7dqCTBBf2")</f>
        <v>https://drive.google.com/open?id=1sw5Nu0vASMzH5PMrvOdRUSd7dqCTBBf2</v>
      </c>
    </row>
    <row r="360" ht="15.75" customHeight="1">
      <c r="F360" s="205"/>
      <c r="G360" s="206"/>
      <c r="V360" s="207"/>
      <c r="W360" s="207"/>
      <c r="X360" s="206"/>
      <c r="Z360" s="165" t="str">
        <f>IFERROR(__xludf.DUMMYFUNCTION("""COMPUTED_VALUE"""),"Rapid And Efficient Facial Landmark Identification By Light And High Resolution Network Using Artificial Intelligence")</f>
        <v>Rapid And Efficient Facial Landmark Identification By Light And High Resolution Network Using Artificial Intelligence</v>
      </c>
      <c r="AA360" s="165" t="str">
        <f>IFERROR(__xludf.DUMMYFUNCTION("""COMPUTED_VALUE"""),"Published")</f>
        <v>Published</v>
      </c>
      <c r="AB360" s="166" t="str">
        <f>IFERROR(__xludf.DUMMYFUNCTION("""COMPUTED_VALUE"""),"https://doi.org/10.1109/ICRAMET60171.2023.10366566")</f>
        <v>https://doi.org/10.1109/ICRAMET60171.2023.10366566</v>
      </c>
      <c r="AC360" s="166" t="str">
        <f>IFERROR(__xludf.DUMMYFUNCTION("""COMPUTED_VALUE"""),"https://drive.google.com/drive/folders/16z-DqCiZOnH6awkalGfdNDjrELEzFUuS?usp=sharing")</f>
        <v>https://drive.google.com/drive/folders/16z-DqCiZOnH6awkalGfdNDjrELEzFUuS?usp=sharing</v>
      </c>
    </row>
    <row r="361" ht="15.75" customHeight="1">
      <c r="F361" s="205"/>
      <c r="G361" s="206"/>
      <c r="V361" s="207"/>
      <c r="W361" s="207"/>
      <c r="X361" s="206"/>
      <c r="Z361" s="165" t="str">
        <f>IFERROR(__xludf.DUMMYFUNCTION("""COMPUTED_VALUE"""),"Simulation of Circular Patch Unit Cell as a Reflector on F4BMX220 Substrate")</f>
        <v>Simulation of Circular Patch Unit Cell as a Reflector on F4BMX220 Substrate</v>
      </c>
      <c r="AA361" s="165" t="str">
        <f>IFERROR(__xludf.DUMMYFUNCTION("""COMPUTED_VALUE"""),"Published")</f>
        <v>Published</v>
      </c>
      <c r="AB361" s="166" t="str">
        <f>IFERROR(__xludf.DUMMYFUNCTION("""COMPUTED_VALUE"""),"https://doi.org/10.1109/ICRAMET60171.2023.10366758")</f>
        <v>https://doi.org/10.1109/ICRAMET60171.2023.10366758</v>
      </c>
      <c r="AC361" s="166" t="str">
        <f>IFERROR(__xludf.DUMMYFUNCTION("""COMPUTED_VALUE"""),"https://conference.brin.go.id/icramet2023/")</f>
        <v>https://conference.brin.go.id/icramet2023/</v>
      </c>
    </row>
    <row r="362" ht="15.75" customHeight="1">
      <c r="F362" s="205"/>
      <c r="G362" s="206"/>
      <c r="V362" s="207"/>
      <c r="W362" s="207"/>
      <c r="X362" s="206"/>
      <c r="Z362" s="165" t="str">
        <f>IFERROR(__xludf.DUMMYFUNCTION("""COMPUTED_VALUE"""),"Time Synchronization for OFDM Systems Using the Symmetric Correlator-ELM Technique")</f>
        <v>Time Synchronization for OFDM Systems Using the Symmetric Correlator-ELM Technique</v>
      </c>
      <c r="AA362" s="165" t="str">
        <f>IFERROR(__xludf.DUMMYFUNCTION("""COMPUTED_VALUE"""),"Published")</f>
        <v>Published</v>
      </c>
      <c r="AB362" s="166" t="str">
        <f>IFERROR(__xludf.DUMMYFUNCTION("""COMPUTED_VALUE"""),"https://doi.org/10.1109/ICRAMET60171.2023.10366645")</f>
        <v>https://doi.org/10.1109/ICRAMET60171.2023.10366645</v>
      </c>
      <c r="AC362" s="165"/>
    </row>
    <row r="363" ht="15.75" customHeight="1">
      <c r="F363" s="205"/>
      <c r="G363" s="206"/>
      <c r="V363" s="207"/>
      <c r="W363" s="207"/>
      <c r="X363" s="206"/>
      <c r="Z363" s="165" t="str">
        <f>IFERROR(__xludf.DUMMYFUNCTION("""COMPUTED_VALUE"""),"VRRP-Based WAN Redundancy Protocol for Dual Gateway Cable Based Tsunameter (INA-CBT)")</f>
        <v>VRRP-Based WAN Redundancy Protocol for Dual Gateway Cable Based Tsunameter (INA-CBT)</v>
      </c>
      <c r="AA363" s="165" t="str">
        <f>IFERROR(__xludf.DUMMYFUNCTION("""COMPUTED_VALUE"""),"Published")</f>
        <v>Published</v>
      </c>
      <c r="AB363" s="166" t="str">
        <f>IFERROR(__xludf.DUMMYFUNCTION("""COMPUTED_VALUE"""),"https://doi.org/10.1109/ICRAMET60171.2023.10366683")</f>
        <v>https://doi.org/10.1109/ICRAMET60171.2023.10366683</v>
      </c>
      <c r="AC363" s="166" t="str">
        <f>IFERROR(__xludf.DUMMYFUNCTION("""COMPUTED_VALUE"""),"https://drive.google.com/open?id=1AjWVgd7qKSS7H-zry5EsnT2mChf3FFJv")</f>
        <v>https://drive.google.com/open?id=1AjWVgd7qKSS7H-zry5EsnT2mChf3FFJv</v>
      </c>
    </row>
    <row r="364" ht="15.75" customHeight="1">
      <c r="F364" s="205"/>
      <c r="G364" s="206"/>
      <c r="V364" s="207"/>
      <c r="W364" s="207"/>
      <c r="X364" s="206"/>
      <c r="Z364" s="165" t="str">
        <f>IFERROR(__xludf.DUMMYFUNCTION("""COMPUTED_VALUE"""),"Federated Meta-Learning for task offloading and resource allocation in MEC-IoT")</f>
        <v>Federated Meta-Learning for task offloading and resource allocation in MEC-IoT</v>
      </c>
      <c r="AA364" s="165" t="str">
        <f>IFERROR(__xludf.DUMMYFUNCTION("""COMPUTED_VALUE"""),"Published")</f>
        <v>Published</v>
      </c>
      <c r="AB364" s="166" t="str">
        <f>IFERROR(__xludf.DUMMYFUNCTION("""COMPUTED_VALUE"""),"https://doi.org/10.1109/ICRAMET60171.2023.10366780")</f>
        <v>https://doi.org/10.1109/ICRAMET60171.2023.10366780</v>
      </c>
      <c r="AC364" s="166" t="str">
        <f>IFERROR(__xludf.DUMMYFUNCTION("""COMPUTED_VALUE"""),"https://drive.google.com/drive/folders/16z-DqCiZOnH6awkalGfdNDjrELEzFUuS?usp=sharing")</f>
        <v>https://drive.google.com/drive/folders/16z-DqCiZOnH6awkalGfdNDjrELEzFUuS?usp=sharing</v>
      </c>
    </row>
    <row r="365" ht="15.75" customHeight="1">
      <c r="F365" s="205"/>
      <c r="G365" s="206"/>
      <c r="V365" s="207"/>
      <c r="W365" s="207"/>
      <c r="X365" s="206"/>
      <c r="Z365" s="165" t="str">
        <f>IFERROR(__xludf.DUMMYFUNCTION("""COMPUTED_VALUE"""),"Development of FPGA-based Ingest System with Multi-Output Interface for Receiving Low Resolution Remote Sensing Satellite Data")</f>
        <v>Development of FPGA-based Ingest System with Multi-Output Interface for Receiving Low Resolution Remote Sensing Satellite Data</v>
      </c>
      <c r="AA365" s="165" t="str">
        <f>IFERROR(__xludf.DUMMYFUNCTION("""COMPUTED_VALUE"""),"Published")</f>
        <v>Published</v>
      </c>
      <c r="AB365" s="165"/>
      <c r="AC365" s="166" t="str">
        <f>IFERROR(__xludf.DUMMYFUNCTION("""COMPUTED_VALUE"""),"https://icitisee.amikompurwokerto.ac.id/")</f>
        <v>https://icitisee.amikompurwokerto.ac.id/</v>
      </c>
    </row>
    <row r="366" ht="15.75" customHeight="1">
      <c r="F366" s="205"/>
      <c r="G366" s="206"/>
      <c r="V366" s="207"/>
      <c r="W366" s="207"/>
      <c r="X366" s="206"/>
      <c r="Z366" s="165" t="str">
        <f>IFERROR(__xludf.DUMMYFUNCTION("""COMPUTED_VALUE"""),"Chapter 10:  Underwater Sensor Network Prototype for Tsunami Detection and Warning: A Long Deployment Journey toward Functionality")</f>
        <v>Chapter 10:  Underwater Sensor Network Prototype for Tsunami Detection and Warning: A Long Deployment Journey toward Functionality</v>
      </c>
      <c r="AA366" s="165" t="str">
        <f>IFERROR(__xludf.DUMMYFUNCTION("""COMPUTED_VALUE"""),"Published")</f>
        <v>Published</v>
      </c>
      <c r="AB366" s="166" t="str">
        <f>IFERROR(__xludf.DUMMYFUNCTION("""COMPUTED_VALUE"""),"https://islandpress.org/books/hazardous-seas  Ebook: ISBN: 9781642831641  Paperback: ISBN: 9781642831634")</f>
        <v>https://islandpress.org/books/hazardous-seas  Ebook: ISBN: 9781642831641  Paperback: ISBN: 9781642831634</v>
      </c>
      <c r="AC366" s="166" t="str">
        <f>IFERROR(__xludf.DUMMYFUNCTION("""COMPUTED_VALUE"""),"https://drive.google.com/open?id=1eCmna7Qrwlg-OyQab8h3lb89SzPMZpDj")</f>
        <v>https://drive.google.com/open?id=1eCmna7Qrwlg-OyQab8h3lb89SzPMZpDj</v>
      </c>
    </row>
    <row r="367" ht="15.75" customHeight="1">
      <c r="F367" s="205"/>
      <c r="G367" s="206"/>
      <c r="V367" s="207"/>
      <c r="W367" s="207"/>
      <c r="X367" s="206"/>
      <c r="Z367" s="165" t="str">
        <f>IFERROR(__xludf.DUMMYFUNCTION("""COMPUTED_VALUE"""),"Chapter 3. A Reliable, Timely Communication Application to Enhance Tsunami Preparedness
    ")</f>
        <v>Chapter 3. A Reliable, Timely Communication Application to Enhance Tsunami Preparedness
    </v>
      </c>
      <c r="AA367" s="165" t="str">
        <f>IFERROR(__xludf.DUMMYFUNCTION("""COMPUTED_VALUE"""),"Published")</f>
        <v>Published</v>
      </c>
      <c r="AB367" s="165" t="str">
        <f>IFERROR(__xludf.DUMMYFUNCTION("""COMPUTED_VALUE"""),"https://islandpress.org/books/hazardous-seas ; Ebook : ISBN 9781642831641   Paper back: ISBN   9781642831634")</f>
        <v>https://islandpress.org/books/hazardous-seas ; Ebook : ISBN 9781642831641   Paper back: ISBN   9781642831634</v>
      </c>
      <c r="AC367" s="166" t="str">
        <f>IFERROR(__xludf.DUMMYFUNCTION("""COMPUTED_VALUE"""),"https://drive.google.com/open?id=13CMtGvQyjrgg9uJDY0H8Sp4u4WheCDMJ")</f>
        <v>https://drive.google.com/open?id=13CMtGvQyjrgg9uJDY0H8Sp4u4WheCDMJ</v>
      </c>
    </row>
    <row r="368" ht="15.75" customHeight="1">
      <c r="F368" s="205"/>
      <c r="G368" s="206"/>
      <c r="V368" s="207"/>
      <c r="W368" s="207"/>
      <c r="X368" s="206"/>
      <c r="Z368" s="165" t="str">
        <f>IFERROR(__xludf.DUMMYFUNCTION("""COMPUTED_VALUE"""),"Chapter 4: Device to Device Communication: A Scalable, Socially Aware, Land-Based 
 Infrastructure to Support Community Resilience in Disaster Events")</f>
        <v>Chapter 4: Device to Device Communication: A Scalable, Socially Aware, Land-Based 
 Infrastructure to Support Community Resilience in Disaster Events</v>
      </c>
      <c r="AA368" s="165" t="str">
        <f>IFERROR(__xludf.DUMMYFUNCTION("""COMPUTED_VALUE"""),"Published")</f>
        <v>Published</v>
      </c>
      <c r="AB368" s="165" t="str">
        <f>IFERROR(__xludf.DUMMYFUNCTION("""COMPUTED_VALUE"""),"URL:  https://islandpress.org/books/hazardous-seas  ; Ebook: ISBN:  9781642831641  ; Paper back: ISBN:  9781642831634")</f>
        <v>URL:  https://islandpress.org/books/hazardous-seas  ; Ebook: ISBN:  9781642831641  ; Paper back: ISBN:  9781642831634</v>
      </c>
      <c r="AC368" s="166" t="str">
        <f>IFERROR(__xludf.DUMMYFUNCTION("""COMPUTED_VALUE"""),"https://drive.google.com/open?id=17J-6zeGG3DtUpJ1g7KgMLIUiBeEcr1Ck")</f>
        <v>https://drive.google.com/open?id=17J-6zeGG3DtUpJ1g7KgMLIUiBeEcr1Ck</v>
      </c>
    </row>
    <row r="369" ht="15.75" customHeight="1">
      <c r="F369" s="205"/>
      <c r="G369" s="206"/>
      <c r="V369" s="207"/>
      <c r="W369" s="207"/>
      <c r="X369" s="206"/>
      <c r="Z369" s="165" t="str">
        <f>IFERROR(__xludf.DUMMYFUNCTION("""COMPUTED_VALUE"""),"Chapter 7. Wireless Networks for Disaster-Degraded Contexts: Tsunami Evacuation in Padang, Indonesia")</f>
        <v>Chapter 7. Wireless Networks for Disaster-Degraded Contexts: Tsunami Evacuation in Padang, Indonesia</v>
      </c>
      <c r="AA369" s="165" t="str">
        <f>IFERROR(__xludf.DUMMYFUNCTION("""COMPUTED_VALUE"""),"Published")</f>
        <v>Published</v>
      </c>
      <c r="AB369" s="165" t="str">
        <f>IFERROR(__xludf.DUMMYFUNCTION("""COMPUTED_VALUE"""),"https://islandpress.org/books/hazardous-seas     Ebook: ISBN:  9781642831641    Paperback: ISBN:  9781642831634")</f>
        <v>https://islandpress.org/books/hazardous-seas     Ebook: ISBN:  9781642831641    Paperback: ISBN:  9781642831634</v>
      </c>
      <c r="AC369" s="166" t="str">
        <f>IFERROR(__xludf.DUMMYFUNCTION("""COMPUTED_VALUE"""),"https://drive.google.com/open?id=1ct9M9lGcb4ns5U4jqDaHnx-JWVO_6LtW")</f>
        <v>https://drive.google.com/open?id=1ct9M9lGcb4ns5U4jqDaHnx-JWVO_6LtW</v>
      </c>
    </row>
    <row r="370" ht="15.75" customHeight="1">
      <c r="F370" s="205"/>
      <c r="G370" s="206"/>
      <c r="V370" s="207"/>
      <c r="W370" s="207"/>
      <c r="X370" s="206"/>
      <c r="Z370" s="165" t="str">
        <f>IFERROR(__xludf.DUMMYFUNCTION("""COMPUTED_VALUE"""),"Blocking Object Effect in Propagation Channel of Millimeter Wave Wireless Communication")</f>
        <v>Blocking Object Effect in Propagation Channel of Millimeter Wave Wireless Communication</v>
      </c>
      <c r="AA370" s="165" t="str">
        <f>IFERROR(__xludf.DUMMYFUNCTION("""COMPUTED_VALUE"""),"Accepted")</f>
        <v>Accepted</v>
      </c>
      <c r="AB370" s="165"/>
      <c r="AC370" s="166" t="str">
        <f>IFERROR(__xludf.DUMMYFUNCTION("""COMPUTED_VALUE"""),"https://drive.google.com/open?id=1LG9afLLYt9vkm6EscdcS4QDwFA6zl-9w")</f>
        <v>https://drive.google.com/open?id=1LG9afLLYt9vkm6EscdcS4QDwFA6zl-9w</v>
      </c>
    </row>
    <row r="371" ht="15.75" customHeight="1">
      <c r="F371" s="205"/>
      <c r="G371" s="206"/>
      <c r="V371" s="207"/>
      <c r="W371" s="207"/>
      <c r="X371" s="206"/>
      <c r="Z371" s="165" t="str">
        <f>IFERROR(__xludf.DUMMYFUNCTION("""COMPUTED_VALUE"""),"Common Mode Noise Reduction Strategies in Radar Devices")</f>
        <v>Common Mode Noise Reduction Strategies in Radar Devices</v>
      </c>
      <c r="AA371" s="165" t="str">
        <f>IFERROR(__xludf.DUMMYFUNCTION("""COMPUTED_VALUE"""),"Accepted")</f>
        <v>Accepted</v>
      </c>
      <c r="AB371" s="166" t="str">
        <f>IFERROR(__xludf.DUMMYFUNCTION("""COMPUTED_VALUE"""),"https://airosip.umy.ac.id/2023/")</f>
        <v>https://airosip.umy.ac.id/2023/</v>
      </c>
      <c r="AC371" s="166" t="str">
        <f>IFERROR(__xludf.DUMMYFUNCTION("""COMPUTED_VALUE"""),"https://drive.google.com/open?id=1XOuJg4Rsvfx5i8KVktY4acqFK-8w6PrL")</f>
        <v>https://drive.google.com/open?id=1XOuJg4Rsvfx5i8KVktY4acqFK-8w6PrL</v>
      </c>
    </row>
    <row r="372" ht="15.75" customHeight="1">
      <c r="F372" s="205"/>
      <c r="G372" s="206"/>
      <c r="V372" s="207"/>
      <c r="W372" s="207"/>
      <c r="X372" s="206"/>
      <c r="Z372" s="165" t="str">
        <f>IFERROR(__xludf.DUMMYFUNCTION("""COMPUTED_VALUE"""),"Development of LoRaWAN Blind ADR for Mobile Realtime Monitoring System")</f>
        <v>Development of LoRaWAN Blind ADR for Mobile Realtime Monitoring System</v>
      </c>
      <c r="AA372" s="165" t="str">
        <f>IFERROR(__xludf.DUMMYFUNCTION("""COMPUTED_VALUE"""),"Accepted")</f>
        <v>Accepted</v>
      </c>
      <c r="AB372" s="166" t="str">
        <f>IFERROR(__xludf.DUMMYFUNCTION("""COMPUTED_VALUE"""),"https://icitcom.umy.ac.id/")</f>
        <v>https://icitcom.umy.ac.id/</v>
      </c>
      <c r="AC372" s="166" t="str">
        <f>IFERROR(__xludf.DUMMYFUNCTION("""COMPUTED_VALUE"""),"https://drive.google.com/open?id=1to_sJocHQjmDAsCzwmkGuiWRxqmmMcyl")</f>
        <v>https://drive.google.com/open?id=1to_sJocHQjmDAsCzwmkGuiWRxqmmMcyl</v>
      </c>
    </row>
    <row r="373" ht="15.75" customHeight="1">
      <c r="F373" s="205"/>
      <c r="G373" s="206"/>
      <c r="V373" s="207"/>
      <c r="W373" s="207"/>
      <c r="X373" s="206"/>
      <c r="Z373" s="165" t="str">
        <f>IFERROR(__xludf.DUMMYFUNCTION("""COMPUTED_VALUE"""),"Effect of Angle Detection on Respiration Vital Sign Measurement Using FMCW Radar")</f>
        <v>Effect of Angle Detection on Respiration Vital Sign Measurement Using FMCW Radar</v>
      </c>
      <c r="AA373" s="165" t="str">
        <f>IFERROR(__xludf.DUMMYFUNCTION("""COMPUTED_VALUE"""),"Accepted")</f>
        <v>Accepted</v>
      </c>
      <c r="AB373" s="165"/>
      <c r="AC373" s="165"/>
    </row>
    <row r="374" ht="15.75" customHeight="1">
      <c r="F374" s="205"/>
      <c r="G374" s="206"/>
      <c r="V374" s="207"/>
      <c r="W374" s="207"/>
      <c r="X374" s="206"/>
      <c r="Z374" s="165" t="str">
        <f>IFERROR(__xludf.DUMMYFUNCTION("""COMPUTED_VALUE"""),"Optimization and Development of RaspBerry Pi 4 Model B to the Internet of Things")</f>
        <v>Optimization and Development of RaspBerry Pi 4 Model B to the Internet of Things</v>
      </c>
      <c r="AA374" s="165" t="str">
        <f>IFERROR(__xludf.DUMMYFUNCTION("""COMPUTED_VALUE"""),"Accepted")</f>
        <v>Accepted</v>
      </c>
      <c r="AB374" s="166" t="str">
        <f>IFERROR(__xludf.DUMMYFUNCTION("""COMPUTED_VALUE"""),"http://2023.itisconf.org/")</f>
        <v>http://2023.itisconf.org/</v>
      </c>
      <c r="AC374" s="166" t="str">
        <f>IFERROR(__xludf.DUMMYFUNCTION("""COMPUTED_VALUE"""),"https://drive.google.com/open?id=19Q8fi3yUGQGOs8cneMM1Z6ym8b0scHAD")</f>
        <v>https://drive.google.com/open?id=19Q8fi3yUGQGOs8cneMM1Z6ym8b0scHAD</v>
      </c>
    </row>
    <row r="375" ht="15.75" customHeight="1">
      <c r="F375" s="205"/>
      <c r="G375" s="206"/>
      <c r="V375" s="207"/>
      <c r="W375" s="207"/>
      <c r="X375" s="206"/>
      <c r="Z375" s="165" t="str">
        <f>IFERROR(__xludf.DUMMYFUNCTION("""COMPUTED_VALUE"""),"Performance Analysis of Mininet-based Testbed for Software Defined Network with P4 Programmable Data Plane")</f>
        <v>Performance Analysis of Mininet-based Testbed for Software Defined Network with P4 Programmable Data Plane</v>
      </c>
      <c r="AA375" s="165" t="str">
        <f>IFERROR(__xludf.DUMMYFUNCTION("""COMPUTED_VALUE"""),"Accepted")</f>
        <v>Accepted</v>
      </c>
      <c r="AB375" s="166" t="str">
        <f>IFERROR(__xludf.DUMMYFUNCTION("""COMPUTED_VALUE"""),"https://tssa-conference.org/2023/")</f>
        <v>https://tssa-conference.org/2023/</v>
      </c>
      <c r="AC375" s="166" t="str">
        <f>IFERROR(__xludf.DUMMYFUNCTION("""COMPUTED_VALUE"""),"https://drive.google.com/open?id=1VZYFu0fWe0CkAaCpZD3XXiTUIn5DIPao")</f>
        <v>https://drive.google.com/open?id=1VZYFu0fWe0CkAaCpZD3XXiTUIn5DIPao</v>
      </c>
    </row>
    <row r="376" ht="15.75" customHeight="1">
      <c r="F376" s="205"/>
      <c r="G376" s="206"/>
      <c r="V376" s="207"/>
      <c r="W376" s="207"/>
      <c r="X376" s="206"/>
      <c r="Z376" s="165" t="str">
        <f>IFERROR(__xludf.DUMMYFUNCTION("""COMPUTED_VALUE"""),"Performance Analysis of Raspberry Pi-based Testbed for P4 Programmable Data Plane")</f>
        <v>Performance Analysis of Raspberry Pi-based Testbed for P4 Programmable Data Plane</v>
      </c>
      <c r="AA376" s="165" t="str">
        <f>IFERROR(__xludf.DUMMYFUNCTION("""COMPUTED_VALUE"""),"Accepted")</f>
        <v>Accepted</v>
      </c>
      <c r="AB376" s="166" t="str">
        <f>IFERROR(__xludf.DUMMYFUNCTION("""COMPUTED_VALUE"""),"https://tssa-conference.org/2023/")</f>
        <v>https://tssa-conference.org/2023/</v>
      </c>
      <c r="AC376" s="166" t="str">
        <f>IFERROR(__xludf.DUMMYFUNCTION("""COMPUTED_VALUE"""),"https://drive.google.com/open?id=1I6Z0fOW2gNhCehhW9JrGtbXBhetwXjXy")</f>
        <v>https://drive.google.com/open?id=1I6Z0fOW2gNhCehhW9JrGtbXBhetwXjXy</v>
      </c>
    </row>
    <row r="377" ht="15.75" customHeight="1">
      <c r="F377" s="205"/>
      <c r="G377" s="206"/>
      <c r="V377" s="207"/>
      <c r="W377" s="207"/>
      <c r="X377" s="206"/>
      <c r="Z377" s="165" t="str">
        <f>IFERROR(__xludf.DUMMYFUNCTION("""COMPUTED_VALUE"""),"Performance Characteristics of CS-Based Image Reconstruction on Microwave Imaging Using Horn Antenna")</f>
        <v>Performance Characteristics of CS-Based Image Reconstruction on Microwave Imaging Using Horn Antenna</v>
      </c>
      <c r="AA377" s="165" t="str">
        <f>IFERROR(__xludf.DUMMYFUNCTION("""COMPUTED_VALUE"""),"Accepted")</f>
        <v>Accepted</v>
      </c>
      <c r="AB377" s="165"/>
      <c r="AC377" s="166" t="str">
        <f>IFERROR(__xludf.DUMMYFUNCTION("""COMPUTED_VALUE"""),"https://drive.google.com/open?id=1xN4rfyQwP8qMn6Rar3ABN1p2U2UY1LyV")</f>
        <v>https://drive.google.com/open?id=1xN4rfyQwP8qMn6Rar3ABN1p2U2UY1LyV</v>
      </c>
    </row>
    <row r="378" ht="15.75" customHeight="1">
      <c r="F378" s="205"/>
      <c r="G378" s="206"/>
      <c r="V378" s="207"/>
      <c r="W378" s="207"/>
      <c r="X378" s="206"/>
      <c r="Z378" s="165" t="str">
        <f>IFERROR(__xludf.DUMMYFUNCTION("""COMPUTED_VALUE"""),"Performance of LoRaWAN in Multi Node")</f>
        <v>Performance of LoRaWAN in Multi Node</v>
      </c>
      <c r="AA378" s="165" t="str">
        <f>IFERROR(__xludf.DUMMYFUNCTION("""COMPUTED_VALUE"""),"Accepted")</f>
        <v>Accepted</v>
      </c>
      <c r="AB378" s="166" t="str">
        <f>IFERROR(__xludf.DUMMYFUNCTION("""COMPUTED_VALUE"""),"http://2023.itisconf.org/")</f>
        <v>http://2023.itisconf.org/</v>
      </c>
      <c r="AC378" s="166" t="str">
        <f>IFERROR(__xludf.DUMMYFUNCTION("""COMPUTED_VALUE"""),"https://drive.google.com/open?id=1SvBQCCAe3RPgn2BlTogm5cvcnfrkKksR")</f>
        <v>https://drive.google.com/open?id=1SvBQCCAe3RPgn2BlTogm5cvcnfrkKksR</v>
      </c>
    </row>
    <row r="379" ht="15.75" customHeight="1">
      <c r="F379" s="205"/>
      <c r="G379" s="206"/>
      <c r="V379" s="207"/>
      <c r="W379" s="207"/>
      <c r="X379" s="206"/>
      <c r="Z379" s="165" t="str">
        <f>IFERROR(__xludf.DUMMYFUNCTION("""COMPUTED_VALUE"""),"Robust Automotive Radar Interference Mitigation Using Multiplicative-Adaptive Filtering and Hilbert Transform")</f>
        <v>Robust Automotive Radar Interference Mitigation Using Multiplicative-Adaptive Filtering and Hilbert Transform</v>
      </c>
      <c r="AA379" s="165" t="str">
        <f>IFERROR(__xludf.DUMMYFUNCTION("""COMPUTED_VALUE"""),"Accepted")</f>
        <v>Accepted</v>
      </c>
      <c r="AB379" s="165"/>
      <c r="AC379" s="166" t="str">
        <f>IFERROR(__xludf.DUMMYFUNCTION("""COMPUTED_VALUE"""),"https://drive.google.com/open?id=1Bc2KfCHLT0rJ2jgvhCscsKGpCK6J3Hbm")</f>
        <v>https://drive.google.com/open?id=1Bc2KfCHLT0rJ2jgvhCscsKGpCK6J3Hbm</v>
      </c>
    </row>
    <row r="380" ht="15.75" customHeight="1">
      <c r="F380" s="205"/>
      <c r="G380" s="206"/>
      <c r="V380" s="207"/>
      <c r="W380" s="207"/>
      <c r="X380" s="206"/>
      <c r="Z380" s="165" t="str">
        <f>IFERROR(__xludf.DUMMYFUNCTION("""COMPUTED_VALUE"""),"Stereo Vision System for Crop Height Measurement Using a Monocular Camera-Equipped Drone")</f>
        <v>Stereo Vision System for Crop Height Measurement Using a Monocular Camera-Equipped Drone</v>
      </c>
      <c r="AA380" s="165" t="str">
        <f>IFERROR(__xludf.DUMMYFUNCTION("""COMPUTED_VALUE"""),"Accepted")</f>
        <v>Accepted</v>
      </c>
      <c r="AB380" s="165"/>
      <c r="AC380" s="166" t="str">
        <f>IFERROR(__xludf.DUMMYFUNCTION("""COMPUTED_VALUE"""),"https://drive.google.com/open?id=1mKtt3LMUmWF4JLg8B795W8fiSC8-zmWc")</f>
        <v>https://drive.google.com/open?id=1mKtt3LMUmWF4JLg8B795W8fiSC8-zmWc</v>
      </c>
    </row>
    <row r="381" ht="15.75" customHeight="1">
      <c r="F381" s="205"/>
      <c r="G381" s="206"/>
      <c r="V381" s="207"/>
      <c r="W381" s="207"/>
      <c r="X381" s="206"/>
      <c r="Z381" s="165" t="str">
        <f>IFERROR(__xludf.DUMMYFUNCTION("""COMPUTED_VALUE"""),"Temperature Sensor Integration into the Node-RED Platform for Transformer Monitoring")</f>
        <v>Temperature Sensor Integration into the Node-RED Platform for Transformer Monitoring</v>
      </c>
      <c r="AA381" s="165" t="str">
        <f>IFERROR(__xludf.DUMMYFUNCTION("""COMPUTED_VALUE"""),"Accepted")</f>
        <v>Accepted</v>
      </c>
      <c r="AB381" s="165"/>
      <c r="AC381" s="166" t="str">
        <f>IFERROR(__xludf.DUMMYFUNCTION("""COMPUTED_VALUE"""),"https://drive.google.com/open?id=1fuK-FFrqCnWHK5l4UfsAfGYaNVowP5LY")</f>
        <v>https://drive.google.com/open?id=1fuK-FFrqCnWHK5l4UfsAfGYaNVowP5LY</v>
      </c>
    </row>
    <row r="382" ht="15.75" customHeight="1">
      <c r="F382" s="205"/>
      <c r="G382" s="206"/>
      <c r="V382" s="207"/>
      <c r="W382" s="207"/>
      <c r="X382" s="206"/>
      <c r="Z382" s="165" t="str">
        <f>IFERROR(__xludf.DUMMYFUNCTION("""COMPUTED_VALUE"""),"Digital Forensics Investigation and Incident Response in Internet of Things (IoT-DFIR) : Challenges and Models")</f>
        <v>Digital Forensics Investigation and Incident Response in Internet of Things (IoT-DFIR) : Challenges and Models</v>
      </c>
      <c r="AA382" s="165" t="str">
        <f>IFERROR(__xludf.DUMMYFUNCTION("""COMPUTED_VALUE"""),"Accepted")</f>
        <v>Accepted</v>
      </c>
      <c r="AB382" s="166" t="str">
        <f>IFERROR(__xludf.DUMMYFUNCTION("""COMPUTED_VALUE"""),"https://icwt-seei.org/2023")</f>
        <v>https://icwt-seei.org/2023</v>
      </c>
      <c r="AC382" s="166" t="str">
        <f>IFERROR(__xludf.DUMMYFUNCTION("""COMPUTED_VALUE"""),"https://drive.google.com/open?id=1ghmn35ueniu8XhnXlP-4JH-349nHiakt")</f>
        <v>https://drive.google.com/open?id=1ghmn35ueniu8XhnXlP-4JH-349nHiakt</v>
      </c>
    </row>
    <row r="383" ht="15.75" customHeight="1">
      <c r="F383" s="205"/>
      <c r="G383" s="206"/>
      <c r="V383" s="207"/>
      <c r="W383" s="207"/>
      <c r="X383" s="206"/>
      <c r="Z383" s="165" t="str">
        <f>IFERROR(__xludf.DUMMYFUNCTION("""COMPUTED_VALUE"""),"A study for a Radio Telescope in Indonesia: Parabolic design, Simulation of horn antenna and Radio frequency survey in Frequency of 0.045 - 18 GHz")</f>
        <v>A study for a Radio Telescope in Indonesia: Parabolic design, Simulation of horn antenna and Radio frequency survey in Frequency of 0.045 - 18 GHz</v>
      </c>
      <c r="AA383" s="165" t="str">
        <f>IFERROR(__xludf.DUMMYFUNCTION("""COMPUTED_VALUE"""),"Accepted")</f>
        <v>Accepted</v>
      </c>
      <c r="AB383" s="166" t="str">
        <f>IFERROR(__xludf.DUMMYFUNCTION("""COMPUTED_VALUE"""),"https://drive.google.com/file/d/1RBCybgiIca76oF4eTBDFypdMrqREZljm/view?usp=sharing")</f>
        <v>https://drive.google.com/file/d/1RBCybgiIca76oF4eTBDFypdMrqREZljm/view?usp=sharing</v>
      </c>
      <c r="AC383" s="165"/>
    </row>
    <row r="384" ht="15.75" customHeight="1">
      <c r="F384" s="205"/>
      <c r="G384" s="206"/>
      <c r="V384" s="207"/>
      <c r="W384" s="207"/>
      <c r="X384" s="206"/>
      <c r="Z384" s="165" t="str">
        <f>IFERROR(__xludf.DUMMYFUNCTION("""COMPUTED_VALUE"""),"Influence of engine operating conditions on effect of ethanol combined with biodiesel in ternary blends on combustion behavior in a compression ignition engine")</f>
        <v>Influence of engine operating conditions on effect of ethanol combined with biodiesel in ternary blends on combustion behavior in a compression ignition engine</v>
      </c>
      <c r="AA384" s="165" t="str">
        <f>IFERROR(__xludf.DUMMYFUNCTION("""COMPUTED_VALUE"""),"Published")</f>
        <v>Published</v>
      </c>
      <c r="AB384" s="166" t="str">
        <f>IFERROR(__xludf.DUMMYFUNCTION("""COMPUTED_VALUE"""),"https://www.scopus.com/authid/detail.uri?authorId=36951986500")</f>
        <v>https://www.scopus.com/authid/detail.uri?authorId=36951986500</v>
      </c>
      <c r="AC384" s="165"/>
    </row>
    <row r="385" ht="15.75" customHeight="1">
      <c r="F385" s="205"/>
      <c r="G385" s="206"/>
      <c r="V385" s="207"/>
      <c r="W385" s="207"/>
      <c r="X385" s="206"/>
      <c r="Z385" s="165" t="str">
        <f>IFERROR(__xludf.DUMMYFUNCTION("""COMPUTED_VALUE"""),"Delignification of Palm Oil Empty Fruit Bunch by ozonization and its physicochemical effect")</f>
        <v>Delignification of Palm Oil Empty Fruit Bunch by ozonization and its physicochemical effect</v>
      </c>
      <c r="AA385" s="165" t="str">
        <f>IFERROR(__xludf.DUMMYFUNCTION("""COMPUTED_VALUE"""),"Published")</f>
        <v>Published</v>
      </c>
      <c r="AB385" s="166" t="str">
        <f>IFERROR(__xludf.DUMMYFUNCTION("""COMPUTED_VALUE"""),"https://www.scopus.com/authid/detail.uri?authorId=6506629493")</f>
        <v>https://www.scopus.com/authid/detail.uri?authorId=6506629493</v>
      </c>
      <c r="AC385" s="165"/>
    </row>
    <row r="386" ht="15.75" customHeight="1">
      <c r="F386" s="205"/>
      <c r="G386" s="206"/>
      <c r="V386" s="207"/>
      <c r="W386" s="207"/>
      <c r="X386" s="206"/>
      <c r="Z386" s="165" t="str">
        <f>IFERROR(__xludf.DUMMYFUNCTION("""COMPUTED_VALUE"""),"Classification Algorithm for Predicting the Graduation Level: Case Study of e-Learning in Telkom University")</f>
        <v>Classification Algorithm for Predicting the Graduation Level: Case Study of e-Learning in Telkom University</v>
      </c>
      <c r="AA386" s="165" t="str">
        <f>IFERROR(__xludf.DUMMYFUNCTION("""COMPUTED_VALUE"""),"Published")</f>
        <v>Published</v>
      </c>
      <c r="AB386" s="166" t="str">
        <f>IFERROR(__xludf.DUMMYFUNCTION("""COMPUTED_VALUE"""),"https://www.scopus.com/record/display.uri?eid=2-s2.0-85148028498&amp;origin=resultslist&amp;sort=plf-f")</f>
        <v>https://www.scopus.com/record/display.uri?eid=2-s2.0-85148028498&amp;origin=resultslist&amp;sort=plf-f</v>
      </c>
      <c r="AC386" s="165"/>
    </row>
    <row r="387" ht="15.75" customHeight="1">
      <c r="F387" s="205"/>
      <c r="G387" s="206"/>
      <c r="V387" s="207"/>
      <c r="W387" s="207"/>
      <c r="X387" s="206"/>
      <c r="Z387" s="165" t="str">
        <f>IFERROR(__xludf.DUMMYFUNCTION("""COMPUTED_VALUE"""),"The Text Mining Analysis Approach for Electronic Information and Transaction (ITE) Implementation Based on Sentiment in the Social Media")</f>
        <v>The Text Mining Analysis Approach for Electronic Information and Transaction (ITE) Implementation Based on Sentiment in the Social Media</v>
      </c>
      <c r="AA387" s="165" t="str">
        <f>IFERROR(__xludf.DUMMYFUNCTION("""COMPUTED_VALUE"""),"Published")</f>
        <v>Published</v>
      </c>
      <c r="AB387" s="166" t="str">
        <f>IFERROR(__xludf.DUMMYFUNCTION("""COMPUTED_VALUE"""),"https://www.scopus.com/authid/detail.uri?authorId=55869180100")</f>
        <v>https://www.scopus.com/authid/detail.uri?authorId=55869180100</v>
      </c>
      <c r="AC387" s="165"/>
    </row>
    <row r="388" ht="15.75" customHeight="1">
      <c r="F388" s="205"/>
      <c r="G388" s="206"/>
      <c r="V388" s="207"/>
      <c r="W388" s="207"/>
      <c r="X388" s="206"/>
      <c r="Z388" s="165" t="str">
        <f>IFERROR(__xludf.DUMMYFUNCTION("""COMPUTED_VALUE"""),"Feasibility analysis of the conversion of brushed to brushless direct current motor")</f>
        <v>Feasibility analysis of the conversion of brushed to brushless direct current motor</v>
      </c>
      <c r="AA388" s="165" t="str">
        <f>IFERROR(__xludf.DUMMYFUNCTION("""COMPUTED_VALUE"""),"Published")</f>
        <v>Published</v>
      </c>
      <c r="AB388" s="166" t="str">
        <f>IFERROR(__xludf.DUMMYFUNCTION("""COMPUTED_VALUE"""),"https://www.scopus.com/authid/detail.uri?authorId=57190934676")</f>
        <v>https://www.scopus.com/authid/detail.uri?authorId=57190934676</v>
      </c>
      <c r="AC388" s="165"/>
    </row>
    <row r="389" ht="15.75" customHeight="1">
      <c r="F389" s="205"/>
      <c r="G389" s="206"/>
      <c r="V389" s="207"/>
      <c r="W389" s="207"/>
      <c r="X389" s="206"/>
      <c r="Z389" s="165" t="str">
        <f>IFERROR(__xludf.DUMMYFUNCTION("""COMPUTED_VALUE"""),"Review of Improving the NOx Conversion Efficiency in Various Diesel Engines fitted with SCR System Technology")</f>
        <v>Review of Improving the NOx Conversion Efficiency in Various Diesel Engines fitted with SCR System Technology</v>
      </c>
      <c r="AA389" s="165" t="str">
        <f>IFERROR(__xludf.DUMMYFUNCTION("""COMPUTED_VALUE"""),"Published")</f>
        <v>Published</v>
      </c>
      <c r="AB389" s="166" t="str">
        <f>IFERROR(__xludf.DUMMYFUNCTION("""COMPUTED_VALUE"""),"https://www.scopus.com/authid/detail.uri?authorId=57196023742")</f>
        <v>https://www.scopus.com/authid/detail.uri?authorId=57196023742</v>
      </c>
      <c r="AC389" s="165"/>
    </row>
    <row r="390" ht="15.75" customHeight="1">
      <c r="F390" s="205"/>
      <c r="G390" s="206"/>
      <c r="V390" s="207"/>
      <c r="W390" s="207"/>
      <c r="X390" s="206"/>
      <c r="Z390" s="165" t="str">
        <f>IFERROR(__xludf.DUMMYFUNCTION("""COMPUTED_VALUE"""),"Quaternion feedback attitude control system design based on weighted–L2–gain performance")</f>
        <v>Quaternion feedback attitude control system design based on weighted–L2–gain performance</v>
      </c>
      <c r="AA390" s="165" t="str">
        <f>IFERROR(__xludf.DUMMYFUNCTION("""COMPUTED_VALUE"""),"Published")</f>
        <v>Published</v>
      </c>
      <c r="AB390" s="166" t="str">
        <f>IFERROR(__xludf.DUMMYFUNCTION("""COMPUTED_VALUE"""),"https://www.scopus.com/authid/detail.uri?authorId=35175259000")</f>
        <v>https://www.scopus.com/authid/detail.uri?authorId=35175259000</v>
      </c>
      <c r="AC390" s="165"/>
    </row>
    <row r="391" ht="15.75" customHeight="1">
      <c r="F391" s="205"/>
      <c r="G391" s="206"/>
      <c r="V391" s="207"/>
      <c r="W391" s="207"/>
      <c r="X391" s="206"/>
      <c r="Z391" s="165" t="str">
        <f>IFERROR(__xludf.DUMMYFUNCTION("""COMPUTED_VALUE"""),"Design and analysis of higher-order repetitive sliding mode controller for uncertain linear systems with time-varying periodic disturbances")</f>
        <v>Design and analysis of higher-order repetitive sliding mode controller for uncertain linear systems with time-varying periodic disturbances</v>
      </c>
      <c r="AA391" s="165" t="str">
        <f>IFERROR(__xludf.DUMMYFUNCTION("""COMPUTED_VALUE"""),"Published")</f>
        <v>Published</v>
      </c>
      <c r="AB391" s="166" t="str">
        <f>IFERROR(__xludf.DUMMYFUNCTION("""COMPUTED_VALUE"""),"https://www.scopus.com/authid/detail.uri?authorId=35175259000")</f>
        <v>https://www.scopus.com/authid/detail.uri?authorId=35175259000</v>
      </c>
      <c r="AC391" s="165"/>
    </row>
    <row r="392" ht="15.75" customHeight="1">
      <c r="F392" s="205"/>
      <c r="G392" s="206"/>
      <c r="V392" s="207"/>
      <c r="W392" s="207"/>
      <c r="X392" s="206"/>
      <c r="Z392" s="165" t="str">
        <f>IFERROR(__xludf.DUMMYFUNCTION("""COMPUTED_VALUE"""),"Experimental Investigation of Effect of L-Profile Hybrid Aluminium/GFRP to the Axial and Lateral Characteristic")</f>
        <v>Experimental Investigation of Effect of L-Profile Hybrid Aluminium/GFRP to the Axial and Lateral Characteristic</v>
      </c>
      <c r="AA392" s="165" t="str">
        <f>IFERROR(__xludf.DUMMYFUNCTION("""COMPUTED_VALUE"""),"Published")</f>
        <v>Published</v>
      </c>
      <c r="AB392" s="166" t="str">
        <f>IFERROR(__xludf.DUMMYFUNCTION("""COMPUTED_VALUE"""),"https://www.scopus.com/record/display.uri?eid=2-s2.0-85149672902&amp;origin=resultslist&amp;sort=plf-f")</f>
        <v>https://www.scopus.com/record/display.uri?eid=2-s2.0-85149672902&amp;origin=resultslist&amp;sort=plf-f</v>
      </c>
      <c r="AC392" s="165"/>
    </row>
    <row r="393" ht="15.75" customHeight="1">
      <c r="F393" s="205"/>
      <c r="G393" s="206"/>
      <c r="V393" s="207"/>
      <c r="W393" s="207"/>
      <c r="X393" s="206"/>
      <c r="Z393" s="165" t="str">
        <f>IFERROR(__xludf.DUMMYFUNCTION("""COMPUTED_VALUE"""),"Mechanical ventilation intervention based on machine learning from vital signs monitoring: a scoping review")</f>
        <v>Mechanical ventilation intervention based on machine learning from vital signs monitoring: a scoping review</v>
      </c>
      <c r="AA393" s="165" t="str">
        <f>IFERROR(__xludf.DUMMYFUNCTION("""COMPUTED_VALUE"""),"Published")</f>
        <v>Published</v>
      </c>
      <c r="AB393" s="166" t="str">
        <f>IFERROR(__xludf.DUMMYFUNCTION("""COMPUTED_VALUE"""),"https://www.scopus.com/record/display.uri?eid=2-s2.0-85150483813&amp;origin=resultslist&amp;sort=plf-f")</f>
        <v>https://www.scopus.com/record/display.uri?eid=2-s2.0-85150483813&amp;origin=resultslist&amp;sort=plf-f</v>
      </c>
      <c r="AC393" s="165"/>
    </row>
    <row r="394" ht="15.75" customHeight="1">
      <c r="F394" s="205"/>
      <c r="G394" s="206"/>
      <c r="V394" s="207"/>
      <c r="W394" s="207"/>
      <c r="X394" s="206"/>
      <c r="Z394" s="165" t="str">
        <f>IFERROR(__xludf.DUMMYFUNCTION("""COMPUTED_VALUE"""),"Exploration of ECG-Based Real-Time Arrhythmia Detection: A Systematic Literature Review")</f>
        <v>Exploration of ECG-Based Real-Time Arrhythmia Detection: A Systematic Literature Review</v>
      </c>
      <c r="AA394" s="165" t="str">
        <f>IFERROR(__xludf.DUMMYFUNCTION("""COMPUTED_VALUE"""),"Published")</f>
        <v>Published</v>
      </c>
      <c r="AB394" s="166" t="str">
        <f>IFERROR(__xludf.DUMMYFUNCTION("""COMPUTED_VALUE"""),"https://doi.org/10.1109/ICADEIS56544.2022.10037399")</f>
        <v>https://doi.org/10.1109/ICADEIS56544.2022.10037399</v>
      </c>
      <c r="AC394" s="165"/>
    </row>
    <row r="395" ht="15.75" customHeight="1">
      <c r="F395" s="205"/>
      <c r="G395" s="206"/>
      <c r="V395" s="207"/>
      <c r="W395" s="207"/>
      <c r="X395" s="206"/>
      <c r="Z395" s="165" t="str">
        <f>IFERROR(__xludf.DUMMYFUNCTION("""COMPUTED_VALUE"""),"Delignification Of Palm Oil Empty Fruit Bunch By Hydroxyl Radical Of Microwave Radiation Under Alkaline Condition
")</f>
        <v>Delignification Of Palm Oil Empty Fruit Bunch By Hydroxyl Radical Of Microwave Radiation Under Alkaline Condition
</v>
      </c>
      <c r="AA395" s="165" t="str">
        <f>IFERROR(__xludf.DUMMYFUNCTION("""COMPUTED_VALUE"""),"Published")</f>
        <v>Published</v>
      </c>
      <c r="AB395" s="166" t="str">
        <f>IFERROR(__xludf.DUMMYFUNCTION("""COMPUTED_VALUE"""),"doi.org/10.37763/wr.1336-4561/68.1.167182")</f>
        <v>doi.org/10.37763/wr.1336-4561/68.1.167182</v>
      </c>
      <c r="AC395" s="165"/>
    </row>
    <row r="396" ht="15.75" customHeight="1">
      <c r="F396" s="205"/>
      <c r="G396" s="206"/>
      <c r="V396" s="207"/>
      <c r="W396" s="207"/>
      <c r="X396" s="206"/>
      <c r="Z396" s="165" t="str">
        <f>IFERROR(__xludf.DUMMYFUNCTION("""COMPUTED_VALUE"""),"Overview of domestic components level in the Indonesian electric vehicle industry’s opportunities
")</f>
        <v>Overview of domestic components level in the Indonesian electric vehicle industry’s opportunities
</v>
      </c>
      <c r="AA396" s="165" t="str">
        <f>IFERROR(__xludf.DUMMYFUNCTION("""COMPUTED_VALUE"""),"Published")</f>
        <v>Published</v>
      </c>
      <c r="AB396" s="166" t="str">
        <f>IFERROR(__xludf.DUMMYFUNCTION("""COMPUTED_VALUE"""),"https://www.scopus.com/record/display.uri?eid=2-s2.0-85160072377&amp;origin=resultslist&amp;sort=plf-f")</f>
        <v>https://www.scopus.com/record/display.uri?eid=2-s2.0-85160072377&amp;origin=resultslist&amp;sort=plf-f</v>
      </c>
      <c r="AC396" s="165"/>
    </row>
    <row r="397" ht="15.75" customHeight="1">
      <c r="F397" s="205"/>
      <c r="G397" s="206"/>
      <c r="V397" s="207"/>
      <c r="W397" s="207"/>
      <c r="X397" s="206"/>
      <c r="Z397" s="165" t="str">
        <f>IFERROR(__xludf.DUMMYFUNCTION("""COMPUTED_VALUE"""),"Five hole probe fixed calibration with high response pressure sensor")</f>
        <v>Five hole probe fixed calibration with high response pressure sensor</v>
      </c>
      <c r="AA397" s="165" t="str">
        <f>IFERROR(__xludf.DUMMYFUNCTION("""COMPUTED_VALUE"""),"Published")</f>
        <v>Published</v>
      </c>
      <c r="AB397" s="166" t="str">
        <f>IFERROR(__xludf.DUMMYFUNCTION("""COMPUTED_VALUE"""),"https://doi.org/10.1063/5.0139661")</f>
        <v>https://doi.org/10.1063/5.0139661</v>
      </c>
      <c r="AC397" s="165"/>
    </row>
    <row r="398" ht="15.75" customHeight="1">
      <c r="F398" s="205"/>
      <c r="G398" s="206"/>
      <c r="V398" s="207"/>
      <c r="W398" s="207"/>
      <c r="X398" s="206"/>
      <c r="Z398" s="165" t="str">
        <f>IFERROR(__xludf.DUMMYFUNCTION("""COMPUTED_VALUE"""),"Implementing Satellite-borne Synthetic Aperture Radar Imaging Algorithm with Open Source Scientific Software")</f>
        <v>Implementing Satellite-borne Synthetic Aperture Radar Imaging Algorithm with Open Source Scientific Software</v>
      </c>
      <c r="AA398" s="165" t="str">
        <f>IFERROR(__xludf.DUMMYFUNCTION("""COMPUTED_VALUE"""),"Published")</f>
        <v>Published</v>
      </c>
      <c r="AB398" s="166" t="str">
        <f>IFERROR(__xludf.DUMMYFUNCTION("""COMPUTED_VALUE"""),"https://doi.org/10.1109/NISS55057.2022.10085323")</f>
        <v>https://doi.org/10.1109/NISS55057.2022.10085323</v>
      </c>
      <c r="AC398" s="165"/>
    </row>
    <row r="399" ht="15.75" customHeight="1">
      <c r="F399" s="205"/>
      <c r="G399" s="206"/>
      <c r="V399" s="207"/>
      <c r="W399" s="207"/>
      <c r="X399" s="206"/>
      <c r="Z399" s="165" t="str">
        <f>IFERROR(__xludf.DUMMYFUNCTION("""COMPUTED_VALUE"""),"Cooperative Formation Control Study for Agricultural Robot Simulation in Square Farmland Areas")</f>
        <v>Cooperative Formation Control Study for Agricultural Robot Simulation in Square Farmland Areas</v>
      </c>
      <c r="AA399" s="165" t="str">
        <f>IFERROR(__xludf.DUMMYFUNCTION("""COMPUTED_VALUE"""),"Published")</f>
        <v>Published</v>
      </c>
      <c r="AB399" s="166" t="str">
        <f>IFERROR(__xludf.DUMMYFUNCTION("""COMPUTED_VALUE"""),"https://doi.org/10.1145/3575882.3575895")</f>
        <v>https://doi.org/10.1145/3575882.3575895</v>
      </c>
      <c r="AC399" s="165"/>
    </row>
    <row r="400" ht="15.75" customHeight="1">
      <c r="F400" s="205"/>
      <c r="G400" s="206"/>
      <c r="V400" s="207"/>
      <c r="W400" s="207"/>
      <c r="X400" s="206"/>
      <c r="Z400" s="165" t="str">
        <f>IFERROR(__xludf.DUMMYFUNCTION("""COMPUTED_VALUE"""),"Effect of HVOF Air Cap Nozzle Grooves on Cr3C2+20NiCr Coating Characteristics")</f>
        <v>Effect of HVOF Air Cap Nozzle Grooves on Cr3C2+20NiCr Coating Characteristics</v>
      </c>
      <c r="AA400" s="165" t="str">
        <f>IFERROR(__xludf.DUMMYFUNCTION("""COMPUTED_VALUE"""),"Published")</f>
        <v>Published</v>
      </c>
      <c r="AB400" s="166" t="str">
        <f>IFERROR(__xludf.DUMMYFUNCTION("""COMPUTED_VALUE"""),"https://doi.org/10.4028/v-6n9tp0")</f>
        <v>https://doi.org/10.4028/v-6n9tp0</v>
      </c>
      <c r="AC400" s="165"/>
    </row>
    <row r="401" ht="15.75" customHeight="1">
      <c r="F401" s="205"/>
      <c r="V401" s="209"/>
      <c r="W401" s="209"/>
      <c r="Z401" s="165" t="str">
        <f>IFERROR(__xludf.DUMMYFUNCTION("""COMPUTED_VALUE"""),"Developing and Validating the Mental Toughness Questionnaire of Athletes Using Rasch Analysis")</f>
        <v>Developing and Validating the Mental Toughness Questionnaire of Athletes Using Rasch Analysis</v>
      </c>
      <c r="AA401" s="165" t="str">
        <f>IFERROR(__xludf.DUMMYFUNCTION("""COMPUTED_VALUE"""),"Published")</f>
        <v>Published</v>
      </c>
      <c r="AB401" s="166" t="str">
        <f>IFERROR(__xludf.DUMMYFUNCTION("""COMPUTED_VALUE"""),"http://doi.org/10.13189/saj.2023.110319")</f>
        <v>http://doi.org/10.13189/saj.2023.110319</v>
      </c>
      <c r="AC401" s="165"/>
    </row>
    <row r="402" ht="15.75" customHeight="1">
      <c r="F402" s="205"/>
      <c r="V402" s="209"/>
      <c r="W402" s="209"/>
      <c r="Z402" s="165" t="str">
        <f>IFERROR(__xludf.DUMMYFUNCTION("""COMPUTED_VALUE"""),"LSTM-based forecasting on electric vehicles battery swapping demand: Addressing infrastructure challenge in Indonesia")</f>
        <v>LSTM-based forecasting on electric vehicles battery swapping demand: Addressing infrastructure challenge in Indonesia</v>
      </c>
      <c r="AA402" s="165" t="str">
        <f>IFERROR(__xludf.DUMMYFUNCTION("""COMPUTED_VALUE"""),"Published")</f>
        <v>Published</v>
      </c>
      <c r="AB402" s="166" t="str">
        <f>IFERROR(__xludf.DUMMYFUNCTION("""COMPUTED_VALUE"""),"http://doi.org/10.14203/j.mev.2023.v14.72-79")</f>
        <v>http://doi.org/10.14203/j.mev.2023.v14.72-79</v>
      </c>
      <c r="AC402" s="165"/>
    </row>
    <row r="403" ht="15.75" customHeight="1">
      <c r="F403" s="205"/>
      <c r="V403" s="209"/>
      <c r="W403" s="209"/>
      <c r="Z403" s="165" t="str">
        <f>IFERROR(__xludf.DUMMYFUNCTION("""COMPUTED_VALUE"""),"Asymptotic Sliding Mode Control Design for Ship Dynamic Positioning System")</f>
        <v>Asymptotic Sliding Mode Control Design for Ship Dynamic Positioning System</v>
      </c>
      <c r="AA403" s="165" t="str">
        <f>IFERROR(__xludf.DUMMYFUNCTION("""COMPUTED_VALUE"""),"Published")</f>
        <v>Published</v>
      </c>
      <c r="AB403" s="166" t="str">
        <f>IFERROR(__xludf.DUMMYFUNCTION("""COMPUTED_VALUE"""),"https://elib.its.ac.id/conf/isitia/main/")</f>
        <v>https://elib.its.ac.id/conf/isitia/main/</v>
      </c>
      <c r="AC403" s="165"/>
    </row>
    <row r="404" ht="15.75" customHeight="1">
      <c r="F404" s="205"/>
      <c r="V404" s="209"/>
      <c r="W404" s="209"/>
      <c r="Z404" s="165" t="str">
        <f>IFERROR(__xludf.DUMMYFUNCTION("""COMPUTED_VALUE"""),"Optimization of Nucleic Acid Extraction Methods for Rapid Detection In Pandemic Situations Or Diseases With High Prevalence")</f>
        <v>Optimization of Nucleic Acid Extraction Methods for Rapid Detection In Pandemic Situations Or Diseases With High Prevalence</v>
      </c>
      <c r="AA404" s="165" t="str">
        <f>IFERROR(__xludf.DUMMYFUNCTION("""COMPUTED_VALUE"""),"Published")</f>
        <v>Published</v>
      </c>
      <c r="AB404" s="166" t="str">
        <f>IFERROR(__xludf.DUMMYFUNCTION("""COMPUTED_VALUE"""),"https://doi.org/10.1016/j.jpha.2023.08.005")</f>
        <v>https://doi.org/10.1016/j.jpha.2023.08.005</v>
      </c>
      <c r="AC404" s="165"/>
    </row>
    <row r="405" ht="15.75" customHeight="1">
      <c r="F405" s="205"/>
      <c r="V405" s="209"/>
      <c r="W405" s="209"/>
      <c r="Z405" s="165" t="str">
        <f>IFERROR(__xludf.DUMMYFUNCTION("""COMPUTED_VALUE"""),"Practical Approach to Designing Radar Linear and Nonlinear Frequency Modulation Chirp Waveforms")</f>
        <v>Practical Approach to Designing Radar Linear and Nonlinear Frequency Modulation Chirp Waveforms</v>
      </c>
      <c r="AA405" s="165" t="str">
        <f>IFERROR(__xludf.DUMMYFUNCTION("""COMPUTED_VALUE"""),"Published")</f>
        <v>Published</v>
      </c>
      <c r="AB405" s="166" t="str">
        <f>IFERROR(__xludf.DUMMYFUNCTION("""COMPUTED_VALUE"""),"https://doi.org/10.1007/978-981-19-9768-6_76")</f>
        <v>https://doi.org/10.1007/978-981-19-9768-6_76</v>
      </c>
      <c r="AC405" s="165"/>
    </row>
    <row r="406" ht="15.75" customHeight="1">
      <c r="F406" s="205"/>
      <c r="V406" s="209"/>
      <c r="W406" s="209"/>
      <c r="Z406" s="165" t="str">
        <f>IFERROR(__xludf.DUMMYFUNCTION("""COMPUTED_VALUE"""),"Modeling and Analysis of a Dual-mode Electric Power Steering for Manual and Autonomous Driving")</f>
        <v>Modeling and Analysis of a Dual-mode Electric Power Steering for Manual and Autonomous Driving</v>
      </c>
      <c r="AA406" s="165" t="str">
        <f>IFERROR(__xludf.DUMMYFUNCTION("""COMPUTED_VALUE"""),"Published")</f>
        <v>Published</v>
      </c>
      <c r="AB406" s="166" t="str">
        <f>IFERROR(__xludf.DUMMYFUNCTION("""COMPUTED_VALUE"""),"https://dl.acm.org/doi/abs/10.1145/3575882.3575894")</f>
        <v>https://dl.acm.org/doi/abs/10.1145/3575882.3575894</v>
      </c>
      <c r="AC406" s="165"/>
    </row>
    <row r="407" ht="15.75" customHeight="1">
      <c r="F407" s="205"/>
      <c r="V407" s="209"/>
      <c r="W407" s="209"/>
      <c r="Z407" s="165" t="str">
        <f>IFERROR(__xludf.DUMMYFUNCTION("""COMPUTED_VALUE"""),"Anti-slip Design for Single Wheel Roller Rig System with Two-Stages Torque Limiter")</f>
        <v>Anti-slip Design for Single Wheel Roller Rig System with Two-Stages Torque Limiter</v>
      </c>
      <c r="AA407" s="165" t="str">
        <f>IFERROR(__xludf.DUMMYFUNCTION("""COMPUTED_VALUE"""),"Published")</f>
        <v>Published</v>
      </c>
      <c r="AB407" s="166" t="str">
        <f>IFERROR(__xludf.DUMMYFUNCTION("""COMPUTED_VALUE"""),"https://doi.org/10.1109/ICPERE56870.2022.10037359")</f>
        <v>https://doi.org/10.1109/ICPERE56870.2022.10037359</v>
      </c>
      <c r="AC407" s="165"/>
    </row>
    <row r="408" ht="15.75" customHeight="1">
      <c r="F408" s="205"/>
      <c r="V408" s="209"/>
      <c r="W408" s="209"/>
      <c r="Z408" s="165" t="str">
        <f>IFERROR(__xludf.DUMMYFUNCTION("""COMPUTED_VALUE"""),"System Identification of a Roller Rig with Factory Default PMSM Drives for Speed Controller Tuning in Speed Synchronized Tractions of an Electric Train Simulator")</f>
        <v>System Identification of a Roller Rig with Factory Default PMSM Drives for Speed Controller Tuning in Speed Synchronized Tractions of an Electric Train Simulator</v>
      </c>
      <c r="AA408" s="165" t="str">
        <f>IFERROR(__xludf.DUMMYFUNCTION("""COMPUTED_VALUE"""),"Published")</f>
        <v>Published</v>
      </c>
      <c r="AB408" s="166" t="str">
        <f>IFERROR(__xludf.DUMMYFUNCTION("""COMPUTED_VALUE"""),"https://ieeexplore.ieee.org/document/10257502")</f>
        <v>https://ieeexplore.ieee.org/document/10257502</v>
      </c>
      <c r="AC408" s="165"/>
    </row>
    <row r="409" ht="15.75" customHeight="1">
      <c r="F409" s="205"/>
      <c r="V409" s="209"/>
      <c r="W409" s="209"/>
      <c r="Z409" s="165" t="str">
        <f>IFERROR(__xludf.DUMMYFUNCTION("""COMPUTED_VALUE"""),"Validity of the modified star excursion balance test (mSEBT) in martial art athletes")</f>
        <v>Validity of the modified star excursion balance test (mSEBT) in martial art athletes</v>
      </c>
      <c r="AA409" s="165" t="str">
        <f>IFERROR(__xludf.DUMMYFUNCTION("""COMPUTED_VALUE"""),"Published")</f>
        <v>Published</v>
      </c>
      <c r="AB409" s="166" t="str">
        <f>IFERROR(__xludf.DUMMYFUNCTION("""COMPUTED_VALUE"""),"https://doi.org/10.7752/jpes.2023.04103")</f>
        <v>https://doi.org/10.7752/jpes.2023.04103</v>
      </c>
      <c r="AC409" s="165"/>
    </row>
    <row r="410" ht="15.75" customHeight="1">
      <c r="F410" s="205"/>
      <c r="V410" s="209"/>
      <c r="W410" s="209"/>
      <c r="Z410" s="165" t="str">
        <f>IFERROR(__xludf.DUMMYFUNCTION("""COMPUTED_VALUE"""),"Smartphone-based application to control TV using IoT technology")</f>
        <v>Smartphone-based application to control TV using IoT technology</v>
      </c>
      <c r="AA410" s="165" t="str">
        <f>IFERROR(__xludf.DUMMYFUNCTION("""COMPUTED_VALUE"""),"Published")</f>
        <v>Published</v>
      </c>
      <c r="AB410" s="166" t="str">
        <f>IFERROR(__xludf.DUMMYFUNCTION("""COMPUTED_VALUE"""),"https://doi.org/10.1063/5.0113757")</f>
        <v>https://doi.org/10.1063/5.0113757</v>
      </c>
      <c r="AC410" s="165"/>
    </row>
    <row r="411" ht="15.75" customHeight="1">
      <c r="F411" s="205"/>
      <c r="V411" s="209"/>
      <c r="W411" s="209"/>
      <c r="Z411" s="165" t="str">
        <f>IFERROR(__xludf.DUMMYFUNCTION("""COMPUTED_VALUE"""),"IoT-Based Instrumented Bicycle Handlebar for Children with Autism Spectrum Disorder")</f>
        <v>IoT-Based Instrumented Bicycle Handlebar for Children with Autism Spectrum Disorder</v>
      </c>
      <c r="AA411" s="165" t="str">
        <f>IFERROR(__xludf.DUMMYFUNCTION("""COMPUTED_VALUE"""),"Published")</f>
        <v>Published</v>
      </c>
      <c r="AB411" s="166" t="str">
        <f>IFERROR(__xludf.DUMMYFUNCTION("""COMPUTED_VALUE"""),"https://doi.org/10.37934/aram.105.1.1227")</f>
        <v>https://doi.org/10.37934/aram.105.1.1227</v>
      </c>
      <c r="AC411" s="165"/>
    </row>
    <row r="412" ht="15.75" customHeight="1">
      <c r="F412" s="205"/>
      <c r="V412" s="209"/>
      <c r="W412" s="209"/>
      <c r="Z412" s="165" t="str">
        <f>IFERROR(__xludf.DUMMYFUNCTION("""COMPUTED_VALUE"""),"Smart IoT Based Monitoring System for Fish Breeding")</f>
        <v>Smart IoT Based Monitoring System for Fish Breeding</v>
      </c>
      <c r="AA412" s="165" t="str">
        <f>IFERROR(__xludf.DUMMYFUNCTION("""COMPUTED_VALUE"""),"Published")</f>
        <v>Published</v>
      </c>
      <c r="AB412" s="166" t="str">
        <f>IFERROR(__xludf.DUMMYFUNCTION("""COMPUTED_VALUE"""),"https://doi.org/10.37934/aram.104.1.111")</f>
        <v>https://doi.org/10.37934/aram.104.1.111</v>
      </c>
      <c r="AC412" s="165"/>
    </row>
    <row r="413" ht="15.75" customHeight="1">
      <c r="F413" s="205"/>
      <c r="V413" s="209"/>
      <c r="W413" s="209"/>
      <c r="Z413" s="165" t="str">
        <f>IFERROR(__xludf.DUMMYFUNCTION("""COMPUTED_VALUE"""),"Valorization of Banana Bunch Waste as a Feedstock via Hydrothermal Carbonization for Energy Purposes")</f>
        <v>Valorization of Banana Bunch Waste as a Feedstock via Hydrothermal Carbonization for Energy Purposes</v>
      </c>
      <c r="AA413" s="165" t="str">
        <f>IFERROR(__xludf.DUMMYFUNCTION("""COMPUTED_VALUE"""),"Published")</f>
        <v>Published</v>
      </c>
      <c r="AB413" s="166" t="str">
        <f>IFERROR(__xludf.DUMMYFUNCTION("""COMPUTED_VALUE"""),"https://doi.org/10.12911/22998993/163350")</f>
        <v>https://doi.org/10.12911/22998993/163350</v>
      </c>
      <c r="AC413" s="165"/>
    </row>
    <row r="414" ht="15.75" customHeight="1">
      <c r="F414" s="205"/>
      <c r="V414" s="209"/>
      <c r="W414" s="209"/>
      <c r="Z414" s="165" t="str">
        <f>IFERROR(__xludf.DUMMYFUNCTION("""COMPUTED_VALUE"""),"Evaluation of Physicochemical Properties Composite Biodiesel from Waste Cooking Oil and Schleichera oleosa Oil")</f>
        <v>Evaluation of Physicochemical Properties Composite Biodiesel from Waste Cooking Oil and Schleichera oleosa Oil</v>
      </c>
      <c r="AA414" s="165" t="str">
        <f>IFERROR(__xludf.DUMMYFUNCTION("""COMPUTED_VALUE"""),"Published")</f>
        <v>Published</v>
      </c>
      <c r="AB414" s="166" t="str">
        <f>IFERROR(__xludf.DUMMYFUNCTION("""COMPUTED_VALUE"""),"https://doi.org/10.3390/en16155771")</f>
        <v>https://doi.org/10.3390/en16155771</v>
      </c>
      <c r="AC414" s="165"/>
    </row>
    <row r="415" ht="15.75" customHeight="1">
      <c r="F415" s="205"/>
      <c r="V415" s="209"/>
      <c r="W415" s="209"/>
      <c r="Z415" s="165" t="str">
        <f>IFERROR(__xludf.DUMMYFUNCTION("""COMPUTED_VALUE"""),"Low-Latitude Fluctuation of Ionospheric Magnetic Field Measured by LAPAN-A3 Satellite")</f>
        <v>Low-Latitude Fluctuation of Ionospheric Magnetic Field Measured by LAPAN-A3 Satellite</v>
      </c>
      <c r="AA415" s="165" t="str">
        <f>IFERROR(__xludf.DUMMYFUNCTION("""COMPUTED_VALUE"""),"Published")</f>
        <v>Published</v>
      </c>
      <c r="AB415" s="166" t="str">
        <f>IFERROR(__xludf.DUMMYFUNCTION("""COMPUTED_VALUE"""),"https://doi.org/10.1007/978-981-19-9768-6_5")</f>
        <v>https://doi.org/10.1007/978-981-19-9768-6_5</v>
      </c>
      <c r="AC415" s="165"/>
    </row>
    <row r="416" ht="15.75" customHeight="1">
      <c r="F416" s="205"/>
      <c r="V416" s="209"/>
      <c r="W416" s="209"/>
      <c r="Z416" s="165" t="str">
        <f>IFERROR(__xludf.DUMMYFUNCTION("""COMPUTED_VALUE"""),"Influence Impregnation Method in the Structure of Bimetallic Ni-Zn/ZrO2 Catalyst")</f>
        <v>Influence Impregnation Method in the Structure of Bimetallic Ni-Zn/ZrO2 Catalyst</v>
      </c>
      <c r="AA416" s="165" t="str">
        <f>IFERROR(__xludf.DUMMYFUNCTION("""COMPUTED_VALUE"""),"Published")</f>
        <v>Published</v>
      </c>
      <c r="AB416" s="166" t="str">
        <f>IFERROR(__xludf.DUMMYFUNCTION("""COMPUTED_VALUE"""),"https://doi.org/10.1007/978-981-19-9768-6_14")</f>
        <v>https://doi.org/10.1007/978-981-19-9768-6_14</v>
      </c>
      <c r="AC416" s="165"/>
    </row>
    <row r="417" ht="15.75" customHeight="1">
      <c r="F417" s="205"/>
      <c r="V417" s="209"/>
      <c r="W417" s="209"/>
      <c r="Z417" s="165" t="str">
        <f>IFERROR(__xludf.DUMMYFUNCTION("""COMPUTED_VALUE"""),"Evaluation of Detecting and Tracking Algorithms of Reflectivity Area Based on Rain Scanner Observation Data")</f>
        <v>Evaluation of Detecting and Tracking Algorithms of Reflectivity Area Based on Rain Scanner Observation Data</v>
      </c>
      <c r="AA417" s="165" t="str">
        <f>IFERROR(__xludf.DUMMYFUNCTION("""COMPUTED_VALUE"""),"Published")</f>
        <v>Published</v>
      </c>
      <c r="AB417" s="166" t="str">
        <f>IFERROR(__xludf.DUMMYFUNCTION("""COMPUTED_VALUE"""),"https://doi.org/10.1007/978-981-19-9768-6_74")</f>
        <v>https://doi.org/10.1007/978-981-19-9768-6_74</v>
      </c>
      <c r="AC417" s="165"/>
    </row>
    <row r="418" ht="15.75" customHeight="1">
      <c r="F418" s="205"/>
      <c r="V418" s="209"/>
      <c r="W418" s="209"/>
      <c r="Z418" s="165" t="str">
        <f>IFERROR(__xludf.DUMMYFUNCTION("""COMPUTED_VALUE"""),"Gyroscopic effect on a scaled rotor-bearing system")</f>
        <v>Gyroscopic effect on a scaled rotor-bearing system</v>
      </c>
      <c r="AA418" s="165" t="str">
        <f>IFERROR(__xludf.DUMMYFUNCTION("""COMPUTED_VALUE"""),"Published")</f>
        <v>Published</v>
      </c>
      <c r="AB418" s="166" t="str">
        <f>IFERROR(__xludf.DUMMYFUNCTION("""COMPUTED_VALUE"""),"https://doi.org/10.1177/10775463221091338")</f>
        <v>https://doi.org/10.1177/10775463221091338</v>
      </c>
      <c r="AC418" s="165"/>
    </row>
    <row r="419" ht="15.75" customHeight="1">
      <c r="F419" s="205"/>
      <c r="V419" s="209"/>
      <c r="W419" s="209"/>
      <c r="Z419" s="165" t="str">
        <f>IFERROR(__xludf.DUMMYFUNCTION("""COMPUTED_VALUE"""),"Diagnosis of Schizophrenia Patients in EEG Signals Using Multiple Optimizer-Convolutional Neural Network (CNN)")</f>
        <v>Diagnosis of Schizophrenia Patients in EEG Signals Using Multiple Optimizer-Convolutional Neural Network (CNN)</v>
      </c>
      <c r="AA419" s="165" t="str">
        <f>IFERROR(__xludf.DUMMYFUNCTION("""COMPUTED_VALUE"""),"Published")</f>
        <v>Published</v>
      </c>
      <c r="AB419" s="166" t="str">
        <f>IFERROR(__xludf.DUMMYFUNCTION("""COMPUTED_VALUE"""),"https://ieeexplore.ieee.org/document/10285756")</f>
        <v>https://ieeexplore.ieee.org/document/10285756</v>
      </c>
      <c r="AC419" s="165"/>
    </row>
    <row r="420" ht="15.75" customHeight="1">
      <c r="F420" s="205"/>
      <c r="V420" s="209"/>
      <c r="W420" s="209"/>
      <c r="Z420" s="165" t="str">
        <f>IFERROR(__xludf.DUMMYFUNCTION("""COMPUTED_VALUE"""),"Counterattacking Cyber Threats: A Framework for the Future of Cybersecurity")</f>
        <v>Counterattacking Cyber Threats: A Framework for the Future of Cybersecurity</v>
      </c>
      <c r="AA420" s="165" t="str">
        <f>IFERROR(__xludf.DUMMYFUNCTION("""COMPUTED_VALUE"""),"Published")</f>
        <v>Published</v>
      </c>
      <c r="AB420" s="166" t="str">
        <f>IFERROR(__xludf.DUMMYFUNCTION("""COMPUTED_VALUE"""),"https://www.mdpi.com/2071-1050/15/18/13369")</f>
        <v>https://www.mdpi.com/2071-1050/15/18/13369</v>
      </c>
      <c r="AC420" s="165"/>
    </row>
    <row r="421" ht="15.75" customHeight="1">
      <c r="F421" s="205"/>
      <c r="V421" s="209"/>
      <c r="W421" s="209"/>
      <c r="Z421" s="165" t="str">
        <f>IFERROR(__xludf.DUMMYFUNCTION("""COMPUTED_VALUE"""),"Development of IoT Control System Prototype for Flood Prevention in Bandung Area")</f>
        <v>Development of IoT Control System Prototype for Flood Prevention in Bandung Area</v>
      </c>
      <c r="AA421" s="165" t="str">
        <f>IFERROR(__xludf.DUMMYFUNCTION("""COMPUTED_VALUE"""),"Published")</f>
        <v>Published</v>
      </c>
      <c r="AB421" s="166" t="str">
        <f>IFERROR(__xludf.DUMMYFUNCTION("""COMPUTED_VALUE"""),"http://www.joiv.org/index.php/joiv/article/view/2083")</f>
        <v>http://www.joiv.org/index.php/joiv/article/view/2083</v>
      </c>
      <c r="AC421" s="165"/>
    </row>
    <row r="422" ht="15.75" customHeight="1">
      <c r="F422" s="205"/>
      <c r="V422" s="209"/>
      <c r="W422" s="209"/>
      <c r="Z422" s="165" t="str">
        <f>IFERROR(__xludf.DUMMYFUNCTION("""COMPUTED_VALUE"""),"Smart Dashboard on an Internet of ThingsBased Automatic Water Meter Reading System ")</f>
        <v>Smart Dashboard on an Internet of Things_x0002_Based Automatic Water Meter Reading System </v>
      </c>
      <c r="AA422" s="165" t="str">
        <f>IFERROR(__xludf.DUMMYFUNCTION("""COMPUTED_VALUE"""),"Published")</f>
        <v>Published</v>
      </c>
      <c r="AB422" s="166" t="str">
        <f>IFERROR(__xludf.DUMMYFUNCTION("""COMPUTED_VALUE"""),"https://ieeexplore.ieee.org/document/10271044")</f>
        <v>https://ieeexplore.ieee.org/document/10271044</v>
      </c>
      <c r="AC422" s="165"/>
    </row>
    <row r="423" ht="15.75" customHeight="1">
      <c r="F423" s="205"/>
      <c r="V423" s="209"/>
      <c r="W423" s="209"/>
      <c r="Z423" s="165" t="str">
        <f>IFERROR(__xludf.DUMMYFUNCTION("""COMPUTED_VALUE"""),"A wireless inductive-capacitive (LC) sensor for Automatic Water Meter System with Nucleo-WL55")</f>
        <v>A wireless inductive-capacitive (LC) sensor for Automatic Water Meter System with Nucleo-WL55</v>
      </c>
      <c r="AA423" s="165" t="str">
        <f>IFERROR(__xludf.DUMMYFUNCTION("""COMPUTED_VALUE"""),"Published")</f>
        <v>Published</v>
      </c>
      <c r="AB423" s="166" t="str">
        <f>IFERROR(__xludf.DUMMYFUNCTION("""COMPUTED_VALUE"""),"https://ieeexplore.ieee.org/document/10270989")</f>
        <v>https://ieeexplore.ieee.org/document/10270989</v>
      </c>
      <c r="AC423" s="165"/>
    </row>
    <row r="424" ht="15.75" customHeight="1">
      <c r="F424" s="205"/>
      <c r="V424" s="209"/>
      <c r="W424" s="209"/>
      <c r="Z424" s="165" t="str">
        <f>IFERROR(__xludf.DUMMYFUNCTION("""COMPUTED_VALUE"""),"Identify Fake Author in Indonesia Crime Cases: A Forensic Authorsip Analysis Using N-gram and Stylometric Features ")</f>
        <v>Identify Fake Author in Indonesia Crime Cases: A Forensic Authorsip Analysis Using N-gram and Stylometric Features </v>
      </c>
      <c r="AA424" s="165" t="str">
        <f>IFERROR(__xludf.DUMMYFUNCTION("""COMPUTED_VALUE"""),"Published")</f>
        <v>Published</v>
      </c>
      <c r="AB424" s="166" t="str">
        <f>IFERROR(__xludf.DUMMYFUNCTION("""COMPUTED_VALUE"""),"https://ieeexplore.ieee.org/document/10271069")</f>
        <v>https://ieeexplore.ieee.org/document/10271069</v>
      </c>
      <c r="AC424" s="165"/>
    </row>
    <row r="425" ht="15.75" customHeight="1">
      <c r="F425" s="205"/>
      <c r="V425" s="209"/>
      <c r="W425" s="209"/>
      <c r="Z425" s="165" t="str">
        <f>IFERROR(__xludf.DUMMYFUNCTION("""COMPUTED_VALUE"""),"Business Process Redesign of Sales Monitoring Business Process Management to be a Smart Logistic Shipment Company ")</f>
        <v>Business Process Redesign of Sales Monitoring Business Process Management to be a Smart Logistic Shipment Company </v>
      </c>
      <c r="AA425" s="165" t="str">
        <f>IFERROR(__xludf.DUMMYFUNCTION("""COMPUTED_VALUE"""),"Published")</f>
        <v>Published</v>
      </c>
      <c r="AB425" s="166" t="str">
        <f>IFERROR(__xludf.DUMMYFUNCTION("""COMPUTED_VALUE"""),"https://ieeexplore.ieee.org/document/10270934")</f>
        <v>https://ieeexplore.ieee.org/document/10270934</v>
      </c>
      <c r="AC425" s="165"/>
    </row>
    <row r="426" ht="15.75" customHeight="1">
      <c r="F426" s="205"/>
      <c r="V426" s="209"/>
      <c r="W426" s="209"/>
      <c r="Z426" s="165" t="str">
        <f>IFERROR(__xludf.DUMMYFUNCTION("""COMPUTED_VALUE"""),"Automated License Plate Detection and Recognition using YOLOv8 and OCR With Tello Drone Camera ")</f>
        <v>Automated License Plate Detection and Recognition using YOLOv8 and OCR With Tello Drone Camera </v>
      </c>
      <c r="AA426" s="165" t="str">
        <f>IFERROR(__xludf.DUMMYFUNCTION("""COMPUTED_VALUE"""),"Published")</f>
        <v>Published</v>
      </c>
      <c r="AB426" s="166" t="str">
        <f>IFERROR(__xludf.DUMMYFUNCTION("""COMPUTED_VALUE"""),"https://ieeexplore.ieee.org/document/10285750")</f>
        <v>https://ieeexplore.ieee.org/document/10285750</v>
      </c>
      <c r="AC426" s="165"/>
    </row>
    <row r="427" ht="15.75" customHeight="1">
      <c r="F427" s="205"/>
      <c r="V427" s="209"/>
      <c r="W427" s="209"/>
      <c r="Z427" s="165" t="str">
        <f>IFERROR(__xludf.DUMMYFUNCTION("""COMPUTED_VALUE"""),"Business Process Improvement in the Program Development Division of PT. XYZ Based on Service-Oriented Architecture ")</f>
        <v>Business Process Improvement in the Program Development Division of PT. XYZ Based on Service-Oriented Architecture </v>
      </c>
      <c r="AA427" s="165" t="str">
        <f>IFERROR(__xludf.DUMMYFUNCTION("""COMPUTED_VALUE"""),"Published")</f>
        <v>Published</v>
      </c>
      <c r="AB427" s="166" t="str">
        <f>IFERROR(__xludf.DUMMYFUNCTION("""COMPUTED_VALUE"""),"https://ieeexplore.ieee.org/document/10285751")</f>
        <v>https://ieeexplore.ieee.org/document/10285751</v>
      </c>
      <c r="AC427" s="165"/>
    </row>
    <row r="428" ht="15.75" customHeight="1">
      <c r="F428" s="205"/>
      <c r="V428" s="209"/>
      <c r="W428" s="209"/>
      <c r="Z428" s="165" t="str">
        <f>IFERROR(__xludf.DUMMYFUNCTION("""COMPUTED_VALUE"""),"Automatic Water Meter Reading Development based on CNN and LoRaWAN")</f>
        <v>Automatic Water Meter Reading Development based on CNN and LoRaWAN</v>
      </c>
      <c r="AA428" s="165" t="str">
        <f>IFERROR(__xludf.DUMMYFUNCTION("""COMPUTED_VALUE"""),"Published")</f>
        <v>Published</v>
      </c>
      <c r="AB428" s="166" t="str">
        <f>IFERROR(__xludf.DUMMYFUNCTION("""COMPUTED_VALUE"""),"https://ieeexplore.ieee.org/document/10285780")</f>
        <v>https://ieeexplore.ieee.org/document/10285780</v>
      </c>
      <c r="AC428" s="165"/>
    </row>
    <row r="429" ht="15.75" customHeight="1">
      <c r="F429" s="205"/>
      <c r="V429" s="209"/>
      <c r="W429" s="209"/>
      <c r="Z429" s="165" t="str">
        <f>IFERROR(__xludf.DUMMYFUNCTION("""COMPUTED_VALUE"""),"Motor Sizing of a Ship-Mounted Two-DoF Manipulator System Considering Variations of Ocean Wave Direction")</f>
        <v>Motor Sizing of a Ship-Mounted Two-DoF Manipulator System Considering Variations of Ocean Wave Direction</v>
      </c>
      <c r="AA429" s="165" t="str">
        <f>IFERROR(__xludf.DUMMYFUNCTION("""COMPUTED_VALUE"""),"Published")</f>
        <v>Published</v>
      </c>
      <c r="AB429" s="166" t="str">
        <f>IFERROR(__xludf.DUMMYFUNCTION("""COMPUTED_VALUE"""),"https://www.scopus.com/record/display.uri?eid=2-s2.0-85174605670&amp;origin=resultslist&amp;sort=plf-f")</f>
        <v>https://www.scopus.com/record/display.uri?eid=2-s2.0-85174605670&amp;origin=resultslist&amp;sort=plf-f</v>
      </c>
      <c r="AC429" s="165"/>
    </row>
    <row r="430" ht="15.75" customHeight="1">
      <c r="F430" s="205"/>
      <c r="V430" s="209"/>
      <c r="W430" s="209"/>
      <c r="Z430" s="165" t="str">
        <f>IFERROR(__xludf.DUMMYFUNCTION("""COMPUTED_VALUE"""),"Modeling High Frequency 13.56 MHz Full Bridge Inverter Based on GaN MOSFET for EV Wireless Charging System")</f>
        <v>Modeling High Frequency 13.56 MHz Full Bridge Inverter Based on GaN MOSFET for EV Wireless Charging System</v>
      </c>
      <c r="AA430" s="165" t="str">
        <f>IFERROR(__xludf.DUMMYFUNCTION("""COMPUTED_VALUE"""),"Published")</f>
        <v>Published</v>
      </c>
      <c r="AB430" s="166" t="str">
        <f>IFERROR(__xludf.DUMMYFUNCTION("""COMPUTED_VALUE"""),"https://www.scopus.com/record/display.uri?eid=2-s2.0-85174635510&amp;origin=resultslist&amp;sort=plf-f")</f>
        <v>https://www.scopus.com/record/display.uri?eid=2-s2.0-85174635510&amp;origin=resultslist&amp;sort=plf-f</v>
      </c>
      <c r="AC430" s="165"/>
    </row>
    <row r="431" ht="15.75" customHeight="1">
      <c r="F431" s="205"/>
      <c r="V431" s="209"/>
      <c r="W431" s="209"/>
      <c r="Z431" s="165" t="str">
        <f>IFERROR(__xludf.DUMMYFUNCTION("""COMPUTED_VALUE"""),"Reaction speed exercises and eye-hand coordination on the gyaku zuki chudan punch speed
")</f>
        <v>Reaction speed exercises and eye-hand coordination on the gyaku zuki chudan punch speed
</v>
      </c>
      <c r="AA431" s="165" t="str">
        <f>IFERROR(__xludf.DUMMYFUNCTION("""COMPUTED_VALUE"""),"Published")</f>
        <v>Published</v>
      </c>
      <c r="AB431" s="166" t="str">
        <f>IFERROR(__xludf.DUMMYFUNCTION("""COMPUTED_VALUE"""),"https://efsupit.ro/images/stories/aprilie2023/Art108.pdf")</f>
        <v>https://efsupit.ro/images/stories/aprilie2023/Art108.pdf</v>
      </c>
      <c r="AC431" s="165"/>
    </row>
    <row r="432" ht="15.75" customHeight="1">
      <c r="F432" s="205"/>
      <c r="V432" s="209"/>
      <c r="W432" s="209"/>
      <c r="Z432" s="165" t="str">
        <f>IFERROR(__xludf.DUMMYFUNCTION("""COMPUTED_VALUE"""),"COMPARATIVE ANALYSIS OF K-MEANS AND K-MEDOIDS ALGORITHMS IN DETERMINING CUSTOMER SEGMENTATION USING RFM MODEL")</f>
        <v>COMPARATIVE ANALYSIS OF K-MEANS AND K-MEDOIDS ALGORITHMS IN DETERMINING CUSTOMER SEGMENTATION USING RFM MODEL</v>
      </c>
      <c r="AA432" s="165" t="str">
        <f>IFERROR(__xludf.DUMMYFUNCTION("""COMPUTED_VALUE"""),"Published")</f>
        <v>Published</v>
      </c>
      <c r="AB432" s="166" t="str">
        <f>IFERROR(__xludf.DUMMYFUNCTION("""COMPUTED_VALUE"""),"https://www.scopus.com/record/display.uri?eid=2-s2.0-85176387578&amp;origin=resultslist")</f>
        <v>https://www.scopus.com/record/display.uri?eid=2-s2.0-85176387578&amp;origin=resultslist</v>
      </c>
      <c r="AC432" s="165"/>
    </row>
    <row r="433" ht="15.75" customHeight="1">
      <c r="F433" s="205"/>
      <c r="V433" s="209"/>
      <c r="W433" s="209"/>
      <c r="Z433" s="165" t="str">
        <f>IFERROR(__xludf.DUMMYFUNCTION("""COMPUTED_VALUE"""),"Delignification of Palm Oil Empty Fruit Bunch by Microwave Radiation under Alkaline with H2O2 Addition")</f>
        <v>Delignification of Palm Oil Empty Fruit Bunch by Microwave Radiation under Alkaline with H2O2 Addition</v>
      </c>
      <c r="AA433" s="165" t="str">
        <f>IFERROR(__xludf.DUMMYFUNCTION("""COMPUTED_VALUE"""),"Published")</f>
        <v>Published</v>
      </c>
      <c r="AB433" s="166" t="str">
        <f>IFERROR(__xludf.DUMMYFUNCTION("""COMPUTED_VALUE"""),"https://www.scopus.com/record/display.uri?eid=2-s2.0-85177562848&amp;origin=resultslist")</f>
        <v>https://www.scopus.com/record/display.uri?eid=2-s2.0-85177562848&amp;origin=resultslist</v>
      </c>
      <c r="AC433" s="165"/>
    </row>
    <row r="434" ht="15.75" customHeight="1">
      <c r="F434" s="205"/>
      <c r="V434" s="209"/>
      <c r="W434" s="209"/>
      <c r="Z434" s="165" t="str">
        <f>IFERROR(__xludf.DUMMYFUNCTION("""COMPUTED_VALUE"""),"Optimization of the Use of Artificial Neural Network Models for Accuracy Data Measurement Palm Oil Production Prediction Rate")</f>
        <v>Optimization of the Use of Artificial Neural Network Models for Accuracy Data Measurement Palm Oil Production Prediction Rate</v>
      </c>
      <c r="AA434" s="165" t="str">
        <f>IFERROR(__xludf.DUMMYFUNCTION("""COMPUTED_VALUE"""),"Published")</f>
        <v>Published</v>
      </c>
      <c r="AB434" s="166" t="str">
        <f>IFERROR(__xludf.DUMMYFUNCTION("""COMPUTED_VALUE"""),"https://www.scopus.com/record/display.uri?eid=2-s2.0-85163100874&amp;origin=resultslist")</f>
        <v>https://www.scopus.com/record/display.uri?eid=2-s2.0-85163100874&amp;origin=resultslist</v>
      </c>
      <c r="AC434" s="165"/>
    </row>
    <row r="435" ht="15.75" customHeight="1">
      <c r="F435" s="205"/>
      <c r="V435" s="209"/>
      <c r="W435" s="209"/>
      <c r="Z435" s="165" t="str">
        <f>IFERROR(__xludf.DUMMYFUNCTION("""COMPUTED_VALUE"""),"Edge detection technique for simultaneous measurement of total suspended solids and turbidity
")</f>
        <v>Edge detection technique for simultaneous measurement of total suspended solids and turbidity
</v>
      </c>
      <c r="AA435" s="165" t="str">
        <f>IFERROR(__xludf.DUMMYFUNCTION("""COMPUTED_VALUE"""),"Published")</f>
        <v>Published</v>
      </c>
      <c r="AB435" s="166" t="str">
        <f>IFERROR(__xludf.DUMMYFUNCTION("""COMPUTED_VALUE"""),"https://www.scopus.com/record/display.uri?eid=2-s2.0-85175863721&amp;origin=resultslist")</f>
        <v>https://www.scopus.com/record/display.uri?eid=2-s2.0-85175863721&amp;origin=resultslist</v>
      </c>
      <c r="AC435" s="165"/>
    </row>
    <row r="436" ht="15.75" customHeight="1">
      <c r="F436" s="205"/>
      <c r="V436" s="209"/>
      <c r="W436" s="209"/>
      <c r="Z436" s="165" t="str">
        <f>IFERROR(__xludf.DUMMYFUNCTION("""COMPUTED_VALUE"""),"Sentiment Analysis of Waste Management In Bandung With Naïve Bayes Algorithm ")</f>
        <v>Sentiment Analysis of Waste Management In Bandung With Naïve Bayes Algorithm </v>
      </c>
      <c r="AA436" s="165" t="str">
        <f>IFERROR(__xludf.DUMMYFUNCTION("""COMPUTED_VALUE"""),"Published")</f>
        <v>Published</v>
      </c>
      <c r="AB436" s="166" t="str">
        <f>IFERROR(__xludf.DUMMYFUNCTION("""COMPUTED_VALUE"""),"https://www.scopus.com/record/display.uri?eid=2-s2.0-85177479423&amp;origin=resultslist")</f>
        <v>https://www.scopus.com/record/display.uri?eid=2-s2.0-85177479423&amp;origin=resultslist</v>
      </c>
      <c r="AC436" s="165"/>
    </row>
    <row r="437" ht="15.75" customHeight="1">
      <c r="F437" s="205"/>
      <c r="V437" s="209"/>
      <c r="W437" s="209"/>
      <c r="Z437" s="165" t="str">
        <f>IFERROR(__xludf.DUMMYFUNCTION("""COMPUTED_VALUE"""),"Social Media Sentiment Analysis for Local Water Company Customers Using a Support Vector Machine Algorithm ")</f>
        <v>Social Media Sentiment Analysis for Local Water Company Customers Using a Support Vector Machine Algorithm </v>
      </c>
      <c r="AA437" s="165" t="str">
        <f>IFERROR(__xludf.DUMMYFUNCTION("""COMPUTED_VALUE"""),"Published")</f>
        <v>Published</v>
      </c>
      <c r="AB437" s="166" t="str">
        <f>IFERROR(__xludf.DUMMYFUNCTION("""COMPUTED_VALUE"""),"https://www.scopus.com/record/display.uri?eid=2-s2.0-85177479131&amp;origin=resultslist")</f>
        <v>https://www.scopus.com/record/display.uri?eid=2-s2.0-85177479131&amp;origin=resultslist</v>
      </c>
      <c r="AC437" s="165"/>
    </row>
    <row r="438" ht="15.75" customHeight="1">
      <c r="F438" s="205"/>
      <c r="V438" s="209"/>
      <c r="W438" s="209"/>
      <c r="Z438" s="165" t="str">
        <f>IFERROR(__xludf.DUMMYFUNCTION("""COMPUTED_VALUE"""),"Image Processing Implementation to Classify Coffee Fruit Ripeness Using K-Nearest Neighbor (KNN) Algorithm")</f>
        <v>Image Processing Implementation to Classify Coffee Fruit Ripeness Using K-Nearest Neighbor (KNN) Algorithm</v>
      </c>
      <c r="AA438" s="165" t="str">
        <f>IFERROR(__xludf.DUMMYFUNCTION("""COMPUTED_VALUE"""),"Published")</f>
        <v>Published</v>
      </c>
      <c r="AB438" s="166" t="str">
        <f>IFERROR(__xludf.DUMMYFUNCTION("""COMPUTED_VALUE"""),"https://www.scopus.com/record/display.uri?eid=2-s2.0-85175994938&amp;origin=resultslist")</f>
        <v>https://www.scopus.com/record/display.uri?eid=2-s2.0-85175994938&amp;origin=resultslist</v>
      </c>
      <c r="AC438" s="165"/>
    </row>
    <row r="439" ht="15.75" customHeight="1">
      <c r="F439" s="205"/>
      <c r="V439" s="209"/>
      <c r="W439" s="209"/>
      <c r="Z439" s="165" t="str">
        <f>IFERROR(__xludf.DUMMYFUNCTION("""COMPUTED_VALUE"""),"Counterweight Mechanism of Prismatic Joint at 4-DOF PRRR Manipulator for Robotic Charging Station (RoCharg-v1)")</f>
        <v>Counterweight Mechanism of Prismatic Joint at 4-DOF PRRR Manipulator for Robotic Charging Station (RoCharg-v1)</v>
      </c>
      <c r="AA439" s="165" t="str">
        <f>IFERROR(__xludf.DUMMYFUNCTION("""COMPUTED_VALUE"""),"Published")</f>
        <v>Published</v>
      </c>
      <c r="AB439" s="166" t="str">
        <f>IFERROR(__xludf.DUMMYFUNCTION("""COMPUTED_VALUE"""),"https://www.scopus.com/record/display.uri?eid=2-s2.0-85175983131&amp;origin=resultslist")</f>
        <v>https://www.scopus.com/record/display.uri?eid=2-s2.0-85175983131&amp;origin=resultslist</v>
      </c>
      <c r="AC439" s="165"/>
    </row>
    <row r="440" ht="15.75" customHeight="1">
      <c r="F440" s="205"/>
      <c r="V440" s="209"/>
      <c r="W440" s="209"/>
      <c r="Z440" s="165" t="str">
        <f>IFERROR(__xludf.DUMMYFUNCTION("""COMPUTED_VALUE"""),"Effect of IMU Sensor Positioning on 1-DOF Angle Measurement Accuracy for Robotic Charging Station (RoCharg-v1) Manipulator")</f>
        <v>Effect of IMU Sensor Positioning on 1-DOF Angle Measurement Accuracy for Robotic Charging Station (RoCharg-v1) Manipulator</v>
      </c>
      <c r="AA440" s="165" t="str">
        <f>IFERROR(__xludf.DUMMYFUNCTION("""COMPUTED_VALUE"""),"Published")</f>
        <v>Published</v>
      </c>
      <c r="AB440" s="166" t="str">
        <f>IFERROR(__xludf.DUMMYFUNCTION("""COMPUTED_VALUE"""),"https://www.scopus.com/record/display.uri?eid=2-s2.0-85175952619&amp;origin=resultslist")</f>
        <v>https://www.scopus.com/record/display.uri?eid=2-s2.0-85175952619&amp;origin=resultslist</v>
      </c>
      <c r="AC440" s="165"/>
    </row>
    <row r="441" ht="15.75" customHeight="1">
      <c r="F441" s="205"/>
      <c r="V441" s="209"/>
      <c r="W441" s="209"/>
      <c r="Z441" s="165" t="str">
        <f>IFERROR(__xludf.DUMMYFUNCTION("""COMPUTED_VALUE"""),"Rain Scanner Radar and Optical Flow Combination for Early Identification of the Incoming Bow Echo Heavy Precipitation")</f>
        <v>Rain Scanner Radar and Optical Flow Combination for Early Identification of the Incoming Bow Echo Heavy Precipitation</v>
      </c>
      <c r="AA441" s="165" t="str">
        <f>IFERROR(__xludf.DUMMYFUNCTION("""COMPUTED_VALUE"""),"Published")</f>
        <v>Published</v>
      </c>
      <c r="AB441" s="166" t="str">
        <f>IFERROR(__xludf.DUMMYFUNCTION("""COMPUTED_VALUE"""),"https://www.scopus.com/record/display.uri?eid=2-s2.0-85175854948&amp;origin=resultslist")</f>
        <v>https://www.scopus.com/record/display.uri?eid=2-s2.0-85175854948&amp;origin=resultslist</v>
      </c>
      <c r="AC441" s="165"/>
    </row>
    <row r="442" ht="15.75" customHeight="1">
      <c r="F442" s="205"/>
      <c r="V442" s="209"/>
      <c r="W442" s="209"/>
      <c r="Z442" s="165" t="str">
        <f>IFERROR(__xludf.DUMMYFUNCTION("""COMPUTED_VALUE"""),"Characteristics of Coal Fly Ash from Tarakan Power Plants as Potential Source of Si/Al for Zeolite Synthesis")</f>
        <v>Characteristics of Coal Fly Ash from Tarakan Power Plants as Potential Source of Si/Al for Zeolite Synthesis</v>
      </c>
      <c r="AA442" s="165" t="str">
        <f>IFERROR(__xludf.DUMMYFUNCTION("""COMPUTED_VALUE"""),"Published")</f>
        <v>Published</v>
      </c>
      <c r="AB442" s="166" t="str">
        <f>IFERROR(__xludf.DUMMYFUNCTION("""COMPUTED_VALUE"""),"https://www.scopus.com/record/display.uri?eid=2-s2.0-85177563408&amp;origin=resultslist")</f>
        <v>https://www.scopus.com/record/display.uri?eid=2-s2.0-85177563408&amp;origin=resultslist</v>
      </c>
      <c r="AC442" s="165"/>
    </row>
    <row r="443" ht="15.75" customHeight="1">
      <c r="F443" s="205"/>
      <c r="V443" s="209"/>
      <c r="W443" s="209"/>
      <c r="Z443" s="165" t="str">
        <f>IFERROR(__xludf.DUMMYFUNCTION("""COMPUTED_VALUE"""),"Research hotspots and future trends of hot corrosion research: a bibliometric analysis")</f>
        <v>Research hotspots and future trends of hot corrosion research: a bibliometric analysis</v>
      </c>
      <c r="AA443" s="165" t="str">
        <f>IFERROR(__xludf.DUMMYFUNCTION("""COMPUTED_VALUE"""),"Published")</f>
        <v>Published</v>
      </c>
      <c r="AB443" s="166" t="str">
        <f>IFERROR(__xludf.DUMMYFUNCTION("""COMPUTED_VALUE"""),"https://www.scopus.com/record/display.uri?eid=2-s2.0-85175328838&amp;origin=resultslist")</f>
        <v>https://www.scopus.com/record/display.uri?eid=2-s2.0-85175328838&amp;origin=resultslist</v>
      </c>
      <c r="AC443" s="165"/>
    </row>
    <row r="444" ht="15.75" customHeight="1">
      <c r="F444" s="205"/>
      <c r="V444" s="209"/>
      <c r="W444" s="209"/>
      <c r="Z444" s="165" t="str">
        <f>IFERROR(__xludf.DUMMYFUNCTION("""COMPUTED_VALUE"""),"Development of mobile biosensor reader for wearable sweat glucose biosensor application")</f>
        <v>Development of mobile biosensor reader for wearable sweat glucose biosensor application</v>
      </c>
      <c r="AA444" s="165" t="str">
        <f>IFERROR(__xludf.DUMMYFUNCTION("""COMPUTED_VALUE"""),"Published")</f>
        <v>Published</v>
      </c>
      <c r="AB444" s="166" t="str">
        <f>IFERROR(__xludf.DUMMYFUNCTION("""COMPUTED_VALUE"""),"https://www.scopus.com/record/display.uri?eid=2-s2.0-85175984732&amp;origin=resultslist")</f>
        <v>https://www.scopus.com/record/display.uri?eid=2-s2.0-85175984732&amp;origin=resultslist</v>
      </c>
      <c r="AC444" s="165"/>
    </row>
    <row r="445" ht="15.75" customHeight="1">
      <c r="F445" s="205"/>
      <c r="V445" s="209"/>
      <c r="W445" s="209"/>
      <c r="Z445" s="165" t="str">
        <f>IFERROR(__xludf.DUMMYFUNCTION("""COMPUTED_VALUE"""),"Oceanic Dynamic Positioning through Hierarchical LQR Algorithm-Driven Advancements for Underactuated Remotely Operated Underwater Vehicles")</f>
        <v>Oceanic Dynamic Positioning through Hierarchical LQR Algorithm-Driven Advancements for Underactuated Remotely Operated Underwater Vehicles</v>
      </c>
      <c r="AA445" s="165" t="str">
        <f>IFERROR(__xludf.DUMMYFUNCTION("""COMPUTED_VALUE"""),"Published")</f>
        <v>Published</v>
      </c>
      <c r="AB445" s="166" t="str">
        <f>IFERROR(__xludf.DUMMYFUNCTION("""COMPUTED_VALUE"""),"https://www.scopus.com/record/display.uri?eid=2-s2.0-85175956791&amp;origin=resultslist")</f>
        <v>https://www.scopus.com/record/display.uri?eid=2-s2.0-85175956791&amp;origin=resultslist</v>
      </c>
      <c r="AC445" s="165"/>
    </row>
    <row r="446" ht="15.75" customHeight="1">
      <c r="F446" s="205"/>
      <c r="V446" s="209"/>
      <c r="W446" s="209"/>
      <c r="Z446" s="165" t="str">
        <f>IFERROR(__xludf.DUMMYFUNCTION("""COMPUTED_VALUE"""),"Excellent Hybrid Polyurethane-Graphite Filler Micro Powder as a Lightweight Structure")</f>
        <v>Excellent Hybrid Polyurethane-Graphite Filler Micro Powder as a Lightweight Structure</v>
      </c>
      <c r="AA446" s="165" t="str">
        <f>IFERROR(__xludf.DUMMYFUNCTION("""COMPUTED_VALUE"""),"Published")</f>
        <v>Published</v>
      </c>
      <c r="AB446" s="166" t="str">
        <f>IFERROR(__xludf.DUMMYFUNCTION("""COMPUTED_VALUE"""),"https://www.mdpi.com/2504-477X/7/10/433")</f>
        <v>https://www.mdpi.com/2504-477X/7/10/433</v>
      </c>
      <c r="AC446" s="165"/>
    </row>
    <row r="447" ht="15.75" customHeight="1">
      <c r="F447" s="205"/>
      <c r="V447" s="209"/>
      <c r="W447" s="209"/>
      <c r="Z447" s="165" t="str">
        <f>IFERROR(__xludf.DUMMYFUNCTION("""COMPUTED_VALUE"""),"Design and Fabrication of PVA-SnO2 Based Humidity Sensors")</f>
        <v>Design and Fabrication of PVA-SnO2 Based Humidity Sensors</v>
      </c>
      <c r="AA447" s="165" t="str">
        <f>IFERROR(__xludf.DUMMYFUNCTION("""COMPUTED_VALUE"""),"Published")</f>
        <v>Published</v>
      </c>
      <c r="AB447" s="166" t="str">
        <f>IFERROR(__xludf.DUMMYFUNCTION("""COMPUTED_VALUE"""),"https://elektrika.utm.my/index.php/ELEKTRIKA_Journal/article/view/419")</f>
        <v>https://elektrika.utm.my/index.php/ELEKTRIKA_Journal/article/view/419</v>
      </c>
      <c r="AC447" s="165"/>
    </row>
    <row r="448" ht="15.75" customHeight="1">
      <c r="F448" s="205"/>
      <c r="V448" s="209"/>
      <c r="W448" s="209"/>
      <c r="Z448" s="165" t="str">
        <f>IFERROR(__xludf.DUMMYFUNCTION("""COMPUTED_VALUE"""),"Environmental study of the potentially harmful elements (PHEs) in talaga bodas geothermal field, Indonesia")</f>
        <v>Environmental study of the potentially harmful elements (PHEs) in talaga bodas geothermal field, Indonesia</v>
      </c>
      <c r="AA448" s="165" t="str">
        <f>IFERROR(__xludf.DUMMYFUNCTION("""COMPUTED_VALUE"""),"Published")</f>
        <v>Published</v>
      </c>
      <c r="AB448" s="166" t="str">
        <f>IFERROR(__xludf.DUMMYFUNCTION("""COMPUTED_VALUE"""),"https://doi.org/10.1063/5.0155609")</f>
        <v>https://doi.org/10.1063/5.0155609</v>
      </c>
      <c r="AC448" s="165"/>
    </row>
    <row r="449" ht="15.75" customHeight="1">
      <c r="F449" s="205"/>
      <c r="V449" s="209"/>
      <c r="W449" s="209"/>
      <c r="Z449" s="165" t="str">
        <f>IFERROR(__xludf.DUMMYFUNCTION("""COMPUTED_VALUE"""),"Data integration of SAP business one with website and mobile using AIP (accelerated implementation program) method for configuration")</f>
        <v>Data integration of SAP business one with website and mobile using AIP (accelerated implementation program) method for configuration</v>
      </c>
      <c r="AA449" s="165" t="str">
        <f>IFERROR(__xludf.DUMMYFUNCTION("""COMPUTED_VALUE"""),"Published")</f>
        <v>Published</v>
      </c>
      <c r="AB449" s="166" t="str">
        <f>IFERROR(__xludf.DUMMYFUNCTION("""COMPUTED_VALUE"""),"https://doi.org/10.1063/5.0118829")</f>
        <v>https://doi.org/10.1063/5.0118829</v>
      </c>
      <c r="AC449" s="165"/>
    </row>
    <row r="450" ht="15.75" customHeight="1">
      <c r="F450" s="205"/>
      <c r="V450" s="209"/>
      <c r="W450" s="209"/>
      <c r="Z450" s="165" t="str">
        <f>IFERROR(__xludf.DUMMYFUNCTION("""COMPUTED_VALUE"""),"Evaluation of ecotechnology performance in treating textile wastewater: Constructed treatment wetlands and natural adsorbents")</f>
        <v>Evaluation of ecotechnology performance in treating textile wastewater: Constructed treatment wetlands and natural adsorbents</v>
      </c>
      <c r="AA450" s="165" t="str">
        <f>IFERROR(__xludf.DUMMYFUNCTION("""COMPUTED_VALUE"""),"Published")</f>
        <v>Published</v>
      </c>
      <c r="AB450" s="166" t="str">
        <f>IFERROR(__xludf.DUMMYFUNCTION("""COMPUTED_VALUE"""),"https://doi.org/10.1088/1755-1315/1260/1/012048")</f>
        <v>https://doi.org/10.1088/1755-1315/1260/1/012048</v>
      </c>
      <c r="AC450" s="165"/>
    </row>
    <row r="451" ht="15.75" customHeight="1">
      <c r="F451" s="205"/>
      <c r="V451" s="209"/>
      <c r="W451" s="209"/>
      <c r="Z451" s="165" t="str">
        <f>IFERROR(__xludf.DUMMYFUNCTION("""COMPUTED_VALUE"""),"Leaf Classification of Jackfruit (Artocarpus heterophyllus) and Cempedak (Radermachera integra) Using Deep Learning")</f>
        <v>Leaf Classification of Jackfruit (Artocarpus heterophyllus) and Cempedak (Radermachera integra) Using Deep Learning</v>
      </c>
      <c r="AA451" s="165" t="str">
        <f>IFERROR(__xludf.DUMMYFUNCTION("""COMPUTED_VALUE"""),"Published")</f>
        <v>Published</v>
      </c>
      <c r="AB451" s="166" t="str">
        <f>IFERROR(__xludf.DUMMYFUNCTION("""COMPUTED_VALUE"""),"https://doi.org/10.1109/ICCCNT56998.2023.10308171")</f>
        <v>https://doi.org/10.1109/ICCCNT56998.2023.10308171</v>
      </c>
      <c r="AC451" s="165"/>
    </row>
    <row r="452" ht="15.75" customHeight="1">
      <c r="F452" s="205"/>
      <c r="V452" s="209"/>
      <c r="W452" s="209"/>
      <c r="Z452" s="165" t="str">
        <f>IFERROR(__xludf.DUMMYFUNCTION("""COMPUTED_VALUE"""),"Blockchain-driven Moving target Defense for Secure Vehicle Access
")</f>
        <v>Blockchain-driven Moving target Defense for Secure Vehicle Access
</v>
      </c>
      <c r="AA452" s="165" t="str">
        <f>IFERROR(__xludf.DUMMYFUNCTION("""COMPUTED_VALUE"""),"Published")</f>
        <v>Published</v>
      </c>
      <c r="AB452" s="166" t="str">
        <f>IFERROR(__xludf.DUMMYFUNCTION("""COMPUTED_VALUE"""),"https://ieeexplore.ieee.org/document/10366773")</f>
        <v>https://ieeexplore.ieee.org/document/10366773</v>
      </c>
      <c r="AC452" s="165"/>
    </row>
    <row r="453" ht="15.75" customHeight="1">
      <c r="F453" s="205"/>
      <c r="V453" s="209"/>
      <c r="W453" s="209"/>
      <c r="Z453" s="165" t="str">
        <f>IFERROR(__xludf.DUMMYFUNCTION("""COMPUTED_VALUE"""),"Fruit Recognition Through Active Grasping of Two-Fingered Gripper using a Soft Skin Sensor ")</f>
        <v>Fruit Recognition Through Active Grasping of Two-Fingered Gripper using a Soft Skin Sensor </v>
      </c>
      <c r="AA453" s="165" t="str">
        <f>IFERROR(__xludf.DUMMYFUNCTION("""COMPUTED_VALUE"""),"Published")</f>
        <v>Published</v>
      </c>
      <c r="AB453" s="166" t="str">
        <f>IFERROR(__xludf.DUMMYFUNCTION("""COMPUTED_VALUE"""),"https://ieeexplore.ieee.org/document/10366648")</f>
        <v>https://ieeexplore.ieee.org/document/10366648</v>
      </c>
      <c r="AC453" s="165"/>
    </row>
    <row r="454" ht="15.75" customHeight="1">
      <c r="F454" s="205"/>
      <c r="V454" s="209"/>
      <c r="W454" s="209"/>
      <c r="Z454" s="165" t="str">
        <f>IFERROR(__xludf.DUMMYFUNCTION("""COMPUTED_VALUE"""),"Exploring EEG Frequency Bands as a Feature for Machine Learning in Drowsiness Detection")</f>
        <v>Exploring EEG Frequency Bands as a Feature for Machine Learning in Drowsiness Detection</v>
      </c>
      <c r="AA454" s="165" t="str">
        <f>IFERROR(__xludf.DUMMYFUNCTION("""COMPUTED_VALUE"""),"Published")</f>
        <v>Published</v>
      </c>
      <c r="AB454" s="166" t="str">
        <f>IFERROR(__xludf.DUMMYFUNCTION("""COMPUTED_VALUE"""),"https://ieeexplore.ieee.org/document/10366672")</f>
        <v>https://ieeexplore.ieee.org/document/10366672</v>
      </c>
      <c r="AC454" s="165"/>
    </row>
    <row r="455" ht="15.75" customHeight="1">
      <c r="F455" s="205"/>
      <c r="V455" s="209"/>
      <c r="W455" s="209"/>
      <c r="Z455" s="165" t="str">
        <f>IFERROR(__xludf.DUMMYFUNCTION("""COMPUTED_VALUE"""),"Shoulder Muscles Activation during Oil Palm Fruit Harvesting Measured by Electromyography")</f>
        <v>Shoulder Muscles Activation during Oil Palm Fruit Harvesting Measured by Electromyography</v>
      </c>
      <c r="AA455" s="165" t="str">
        <f>IFERROR(__xludf.DUMMYFUNCTION("""COMPUTED_VALUE"""),"Published")</f>
        <v>Published</v>
      </c>
      <c r="AB455" s="166" t="str">
        <f>IFERROR(__xludf.DUMMYFUNCTION("""COMPUTED_VALUE"""),"https://ieeexplore.ieee.org/document/10366725")</f>
        <v>https://ieeexplore.ieee.org/document/10366725</v>
      </c>
      <c r="AC455" s="165"/>
    </row>
    <row r="456" ht="15.75" customHeight="1">
      <c r="F456" s="205"/>
      <c r="V456" s="209"/>
      <c r="W456" s="209"/>
      <c r="Z456" s="165" t="str">
        <f>IFERROR(__xludf.DUMMYFUNCTION("""COMPUTED_VALUE"""),"Motion Capture Systems with IMU Sensors: A Preliminary investigation of Oil Palm harvesting Techniques")</f>
        <v>Motion Capture Systems with IMU Sensors: A Preliminary investigation of Oil Palm harvesting Techniques</v>
      </c>
      <c r="AA456" s="165" t="str">
        <f>IFERROR(__xludf.DUMMYFUNCTION("""COMPUTED_VALUE"""),"Published")</f>
        <v>Published</v>
      </c>
      <c r="AB456" s="166" t="str">
        <f>IFERROR(__xludf.DUMMYFUNCTION("""COMPUTED_VALUE"""),"https://ieeexplore.ieee.org/document/10366694")</f>
        <v>https://ieeexplore.ieee.org/document/10366694</v>
      </c>
      <c r="AC456" s="165"/>
    </row>
    <row r="457" ht="15.75" customHeight="1">
      <c r="F457" s="205"/>
      <c r="V457" s="209"/>
      <c r="W457" s="209"/>
      <c r="Z457" s="165" t="str">
        <f>IFERROR(__xludf.DUMMYFUNCTION("""COMPUTED_VALUE"""),"Cognitive Load Assessment through Power Spectral Density in EEG")</f>
        <v>Cognitive Load Assessment through Power Spectral Density in EEG</v>
      </c>
      <c r="AA457" s="165" t="str">
        <f>IFERROR(__xludf.DUMMYFUNCTION("""COMPUTED_VALUE"""),"Published")</f>
        <v>Published</v>
      </c>
      <c r="AB457" s="166" t="str">
        <f>IFERROR(__xludf.DUMMYFUNCTION("""COMPUTED_VALUE"""),"https://ieeexplore.ieee.org/document/10366554")</f>
        <v>https://ieeexplore.ieee.org/document/10366554</v>
      </c>
      <c r="AC457" s="165"/>
    </row>
    <row r="458" ht="15.75" customHeight="1">
      <c r="F458" s="205"/>
      <c r="V458" s="209"/>
      <c r="W458" s="209"/>
      <c r="Z458" s="165" t="str">
        <f>IFERROR(__xludf.DUMMYFUNCTION("""COMPUTED_VALUE"""),"Analysis of a Backpropagation Neural Network Training Algorithm for EEG-Based Drowsiness Identification")</f>
        <v>Analysis of a Backpropagation Neural Network Training Algorithm for EEG-Based Drowsiness Identification</v>
      </c>
      <c r="AA458" s="165" t="str">
        <f>IFERROR(__xludf.DUMMYFUNCTION("""COMPUTED_VALUE"""),"Published")</f>
        <v>Published</v>
      </c>
      <c r="AB458" s="166" t="str">
        <f>IFERROR(__xludf.DUMMYFUNCTION("""COMPUTED_VALUE"""),"https://ieeexplore.ieee.org/document/10366759")</f>
        <v>https://ieeexplore.ieee.org/document/10366759</v>
      </c>
      <c r="AC458" s="165"/>
    </row>
    <row r="459" ht="15.75" customHeight="1">
      <c r="F459" s="205"/>
      <c r="V459" s="209"/>
      <c r="W459" s="209"/>
      <c r="Z459" s="165" t="str">
        <f>IFERROR(__xludf.DUMMYFUNCTION("""COMPUTED_VALUE"""),"EEG Analysis based on Spectral Edge Frequency during Mental Arithmetic Task")</f>
        <v>EEG Analysis based on Spectral Edge Frequency during Mental Arithmetic Task</v>
      </c>
      <c r="AA459" s="165" t="str">
        <f>IFERROR(__xludf.DUMMYFUNCTION("""COMPUTED_VALUE"""),"Published")</f>
        <v>Published</v>
      </c>
      <c r="AB459" s="166" t="str">
        <f>IFERROR(__xludf.DUMMYFUNCTION("""COMPUTED_VALUE"""),"https://ieeexplore.ieee.org/document/10366730")</f>
        <v>https://ieeexplore.ieee.org/document/10366730</v>
      </c>
      <c r="AC459" s="165"/>
    </row>
    <row r="460" ht="15.75" customHeight="1">
      <c r="F460" s="205"/>
      <c r="V460" s="209"/>
      <c r="W460" s="209"/>
      <c r="Z460" s="165" t="str">
        <f>IFERROR(__xludf.DUMMYFUNCTION("""COMPUTED_VALUE"""),"Automatic Bow Echo Shape Detection Using Combination of Image Processing and Skeletonization in X-Band Radar Image")</f>
        <v>Automatic Bow Echo Shape Detection Using Combination of Image Processing and Skeletonization in X-Band Radar Image</v>
      </c>
      <c r="AA460" s="165" t="str">
        <f>IFERROR(__xludf.DUMMYFUNCTION("""COMPUTED_VALUE"""),"Published")</f>
        <v>Published</v>
      </c>
      <c r="AB460" s="166" t="str">
        <f>IFERROR(__xludf.DUMMYFUNCTION("""COMPUTED_VALUE"""),"https://ieeexplore.ieee.org/document/10366682")</f>
        <v>https://ieeexplore.ieee.org/document/10366682</v>
      </c>
      <c r="AC460" s="165"/>
    </row>
    <row r="461" ht="15.75" customHeight="1">
      <c r="F461" s="205"/>
      <c r="V461" s="209"/>
      <c r="W461" s="209"/>
      <c r="Z461" s="165" t="str">
        <f>IFERROR(__xludf.DUMMYFUNCTION("""COMPUTED_VALUE"""),"Investigation of the Rain Scanner Radar Performance for Reflectivity-Rainfall Estimation in A Co-Location Grid Data")</f>
        <v>Investigation of the Rain Scanner Radar Performance for Reflectivity-Rainfall Estimation in A Co-Location Grid Data</v>
      </c>
      <c r="AA461" s="165" t="str">
        <f>IFERROR(__xludf.DUMMYFUNCTION("""COMPUTED_VALUE"""),"Published")</f>
        <v>Published</v>
      </c>
      <c r="AB461" s="166" t="str">
        <f>IFERROR(__xludf.DUMMYFUNCTION("""COMPUTED_VALUE"""),"https://ieeexplore.ieee.org/document/10366616")</f>
        <v>https://ieeexplore.ieee.org/document/10366616</v>
      </c>
      <c r="AC461" s="165"/>
    </row>
    <row r="462" ht="15.75" customHeight="1">
      <c r="F462" s="205"/>
      <c r="V462" s="209"/>
      <c r="W462" s="209"/>
      <c r="Z462" s="165" t="str">
        <f>IFERROR(__xludf.DUMMYFUNCTION("""COMPUTED_VALUE"""),"Fuzzy-proportional Controller of EPS for Autonomous Driving of Small Electric Vehicles")</f>
        <v>Fuzzy-proportional Controller of EPS for Autonomous Driving of Small Electric Vehicles</v>
      </c>
      <c r="AA462" s="165" t="str">
        <f>IFERROR(__xludf.DUMMYFUNCTION("""COMPUTED_VALUE"""),"Published")</f>
        <v>Published</v>
      </c>
      <c r="AB462" s="166" t="str">
        <f>IFERROR(__xludf.DUMMYFUNCTION("""COMPUTED_VALUE"""),"https://ieeexplore.ieee.org/document/10366579")</f>
        <v>https://ieeexplore.ieee.org/document/10366579</v>
      </c>
      <c r="AC462" s="165"/>
    </row>
    <row r="463" ht="15.75" customHeight="1">
      <c r="F463" s="205"/>
      <c r="V463" s="209"/>
      <c r="W463" s="209"/>
      <c r="Z463" s="165" t="str">
        <f>IFERROR(__xludf.DUMMYFUNCTION("""COMPUTED_VALUE"""),"Fuzzy-PID Controller of EPS for Autonomous Driving of Small Electric Vehicles")</f>
        <v>Fuzzy-PID Controller of EPS for Autonomous Driving of Small Electric Vehicles</v>
      </c>
      <c r="AA463" s="165" t="str">
        <f>IFERROR(__xludf.DUMMYFUNCTION("""COMPUTED_VALUE"""),"Published")</f>
        <v>Published</v>
      </c>
      <c r="AB463" s="166" t="str">
        <f>IFERROR(__xludf.DUMMYFUNCTION("""COMPUTED_VALUE"""),"https://ieeexplore.ieee.org/document/10366579")</f>
        <v>https://ieeexplore.ieee.org/document/10366579</v>
      </c>
      <c r="AC463" s="165"/>
    </row>
    <row r="464" ht="15.75" customHeight="1">
      <c r="F464" s="205"/>
      <c r="V464" s="209"/>
      <c r="W464" s="209"/>
      <c r="Z464" s="165" t="str">
        <f>IFERROR(__xludf.DUMMYFUNCTION("""COMPUTED_VALUE"""),"A Review of Robotic Charging for Electric Vehicles")</f>
        <v>A Review of Robotic Charging for Electric Vehicles</v>
      </c>
      <c r="AA464" s="165" t="str">
        <f>IFERROR(__xludf.DUMMYFUNCTION("""COMPUTED_VALUE"""),"Published")</f>
        <v>Published</v>
      </c>
      <c r="AB464" s="166" t="str">
        <f>IFERROR(__xludf.DUMMYFUNCTION("""COMPUTED_VALUE"""),"https://www.scopus.com/record/display.uri?eid=2-s2.0-85178474573&amp;origin=resultslist")</f>
        <v>https://www.scopus.com/record/display.uri?eid=2-s2.0-85178474573&amp;origin=resultslist</v>
      </c>
      <c r="AC464" s="165"/>
    </row>
    <row r="465" ht="15.75" customHeight="1">
      <c r="F465" s="205"/>
      <c r="V465" s="209"/>
      <c r="W465" s="209"/>
      <c r="Z465" s="165" t="str">
        <f>IFERROR(__xludf.DUMMYFUNCTION("""COMPUTED_VALUE"""),"A Design of Smart Charging Architecture for Battery Electric Vehicles")</f>
        <v>A Design of Smart Charging Architecture for Battery Electric Vehicles</v>
      </c>
      <c r="AA465" s="165" t="str">
        <f>IFERROR(__xludf.DUMMYFUNCTION("""COMPUTED_VALUE"""),"Accepted")</f>
        <v>Accepted</v>
      </c>
      <c r="AB465" s="165"/>
      <c r="AC465" s="165"/>
    </row>
    <row r="466" ht="15.75" customHeight="1">
      <c r="F466" s="205"/>
      <c r="V466" s="209"/>
      <c r="W466" s="209"/>
      <c r="Z466" s="165" t="str">
        <f>IFERROR(__xludf.DUMMYFUNCTION("""COMPUTED_VALUE"""),"Design of local controller for Autonomous Electric
 Vehicle")</f>
        <v>Design of local controller for Autonomous Electric
 Vehicle</v>
      </c>
      <c r="AA466" s="165" t="str">
        <f>IFERROR(__xludf.DUMMYFUNCTION("""COMPUTED_VALUE"""),"Accepted")</f>
        <v>Accepted</v>
      </c>
      <c r="AB466" s="165"/>
      <c r="AC466" s="165"/>
    </row>
    <row r="467" ht="15.75" customHeight="1">
      <c r="F467" s="205"/>
      <c r="V467" s="209"/>
      <c r="W467" s="209"/>
      <c r="Z467" s="165" t="str">
        <f>IFERROR(__xludf.DUMMYFUNCTION("""COMPUTED_VALUE"""),"Study of Traction Characteristics of a Low Multi-Purpose Vehicle")</f>
        <v>Study of Traction Characteristics of a Low Multi-Purpose Vehicle</v>
      </c>
      <c r="AA467" s="165" t="str">
        <f>IFERROR(__xludf.DUMMYFUNCTION("""COMPUTED_VALUE"""),"Accepted")</f>
        <v>Accepted</v>
      </c>
      <c r="AB467" s="165"/>
      <c r="AC467" s="165"/>
    </row>
    <row r="468" ht="15.75" customHeight="1">
      <c r="F468" s="205"/>
      <c r="V468" s="209"/>
      <c r="W468" s="209"/>
      <c r="Z468" s="165" t="str">
        <f>IFERROR(__xludf.DUMMYFUNCTION("""COMPUTED_VALUE"""),"Analysis of Vortex Turbine Performance Improvement: A Review")</f>
        <v>Analysis of Vortex Turbine Performance Improvement: A Review</v>
      </c>
      <c r="AA468" s="165" t="str">
        <f>IFERROR(__xludf.DUMMYFUNCTION("""COMPUTED_VALUE"""),"Accepted")</f>
        <v>Accepted</v>
      </c>
      <c r="AB468" s="165"/>
      <c r="AC468" s="165"/>
    </row>
    <row r="469" ht="15.75" customHeight="1">
      <c r="F469" s="205"/>
      <c r="V469" s="209"/>
      <c r="W469" s="209"/>
      <c r="Z469" s="165" t="str">
        <f>IFERROR(__xludf.DUMMYFUNCTION("""COMPUTED_VALUE"""),"Overview of Low Head Hydroelectric Power Generation Technology for Agriculture and Plantation Areas")</f>
        <v>Overview of Low Head Hydroelectric Power Generation Technology for Agriculture and Plantation Areas</v>
      </c>
      <c r="AA469" s="165" t="str">
        <f>IFERROR(__xludf.DUMMYFUNCTION("""COMPUTED_VALUE"""),"Accepted")</f>
        <v>Accepted</v>
      </c>
      <c r="AB469" s="165"/>
      <c r="AC469" s="165"/>
    </row>
    <row r="470" ht="15.75" customHeight="1">
      <c r="F470" s="205"/>
      <c r="V470" s="209"/>
      <c r="W470" s="209"/>
      <c r="Z470" s="165" t="str">
        <f>IFERROR(__xludf.DUMMYFUNCTION("""COMPUTED_VALUE"""),"Coffee Bean Roasting Levels Detection: A Systematic Review
")</f>
        <v>Coffee Bean Roasting Levels Detection: A Systematic Review
</v>
      </c>
      <c r="AA470" s="165" t="str">
        <f>IFERROR(__xludf.DUMMYFUNCTION("""COMPUTED_VALUE"""),"Accepted")</f>
        <v>Accepted</v>
      </c>
      <c r="AB470" s="165"/>
      <c r="AC470" s="165"/>
    </row>
    <row r="471" ht="15.75" customHeight="1">
      <c r="F471" s="205"/>
      <c r="V471" s="209"/>
      <c r="W471" s="209"/>
      <c r="Z471" s="165" t="str">
        <f>IFERROR(__xludf.DUMMYFUNCTION("""COMPUTED_VALUE"""),"Exploring the Potential of High-Fatty Acid Content Oils for Biodiesel Production: A Catalyst-Free Approach")</f>
        <v>Exploring the Potential of High-Fatty Acid Content Oils for Biodiesel Production: A Catalyst-Free Approach</v>
      </c>
      <c r="AA471" s="165" t="str">
        <f>IFERROR(__xludf.DUMMYFUNCTION("""COMPUTED_VALUE"""),"Accepted")</f>
        <v>Accepted</v>
      </c>
      <c r="AB471" s="166" t="str">
        <f>IFERROR(__xludf.DUMMYFUNCTION("""COMPUTED_VALUE"""),"http://isbb.site/index.html ")</f>
        <v>http://isbb.site/index.html </v>
      </c>
      <c r="AC471" s="165"/>
    </row>
    <row r="472" ht="15.75" customHeight="1">
      <c r="F472" s="205"/>
      <c r="V472" s="209"/>
      <c r="W472" s="209"/>
      <c r="Z472" s="165" t="str">
        <f>IFERROR(__xludf.DUMMYFUNCTION("""COMPUTED_VALUE"""),"A Diffused Double-Layer Model of Bulk 
Nanobubbles in Aqueous NaCl Solutions
")</f>
        <v>A Diffused Double-Layer Model of Bulk 
Nanobubbles in Aqueous NaCl Solutions
</v>
      </c>
      <c r="AA472" s="165" t="str">
        <f>IFERROR(__xludf.DUMMYFUNCTION("""COMPUTED_VALUE"""),"Accepted")</f>
        <v>Accepted</v>
      </c>
      <c r="AB472" s="166" t="str">
        <f>IFERROR(__xludf.DUMMYFUNCTION("""COMPUTED_VALUE"""),"https://polygeneration2023.ui.ac.id/
")</f>
        <v>https://polygeneration2023.ui.ac.id/
</v>
      </c>
      <c r="AC472" s="165"/>
    </row>
    <row r="473" ht="15.75" customHeight="1">
      <c r="F473" s="205"/>
      <c r="V473" s="209"/>
      <c r="W473" s="209"/>
      <c r="Z473" s="165" t="str">
        <f>IFERROR(__xludf.DUMMYFUNCTION("""COMPUTED_VALUE"""),"Vehicle Driver of Real-time Heart Rate Monitoring with Camera-Based Face Recognition
")</f>
        <v>Vehicle Driver of Real-time Heart Rate Monitoring with Camera-Based Face Recognition
</v>
      </c>
      <c r="AA473" s="165" t="str">
        <f>IFERROR(__xludf.DUMMYFUNCTION("""COMPUTED_VALUE"""),"Accepted")</f>
        <v>Accepted</v>
      </c>
      <c r="AB473" s="166" t="str">
        <f>IFERROR(__xludf.DUMMYFUNCTION("""COMPUTED_VALUE"""),"https://tssa-conference.org/2023/")</f>
        <v>https://tssa-conference.org/2023/</v>
      </c>
      <c r="AC473" s="165"/>
    </row>
    <row r="474" ht="15.75" customHeight="1">
      <c r="F474" s="205"/>
      <c r="V474" s="209"/>
      <c r="W474" s="209"/>
      <c r="Z474" s="165" t="str">
        <f>IFERROR(__xludf.DUMMYFUNCTION("""COMPUTED_VALUE"""),"The Comparison Methods of Fruit Detection by Machine Learning")</f>
        <v>The Comparison Methods of Fruit Detection by Machine Learning</v>
      </c>
      <c r="AA474" s="165" t="str">
        <f>IFERROR(__xludf.DUMMYFUNCTION("""COMPUTED_VALUE"""),"Accepted")</f>
        <v>Accepted</v>
      </c>
      <c r="AB474" s="166" t="str">
        <f>IFERROR(__xludf.DUMMYFUNCTION("""COMPUTED_VALUE"""),"https://conference.brin.go.id/icfas2023/")</f>
        <v>https://conference.brin.go.id/icfas2023/</v>
      </c>
      <c r="AC474" s="165"/>
    </row>
    <row r="475" ht="15.75" customHeight="1">
      <c r="F475" s="205"/>
      <c r="V475" s="209"/>
      <c r="W475" s="209"/>
      <c r="Z475" s="165" t="str">
        <f>IFERROR(__xludf.DUMMYFUNCTION("""COMPUTED_VALUE"""),"Assessing the potential of ionosonde for forecasting post-sunset equatorial plasma bubbles: An observational experiment in Southeast Asia")</f>
        <v>Assessing the potential of ionosonde for forecasting post-sunset equatorial plasma bubbles: An observational experiment in Southeast Asia</v>
      </c>
      <c r="AA475" s="165" t="str">
        <f>IFERROR(__xludf.DUMMYFUNCTION("""COMPUTED_VALUE"""),"Accepted")</f>
        <v>Accepted</v>
      </c>
      <c r="AB475" s="166" t="str">
        <f>IFERROR(__xludf.DUMMYFUNCTION("""COMPUTED_VALUE"""),"https://www.springeropen.com/collections/ISEA")</f>
        <v>https://www.springeropen.com/collections/ISEA</v>
      </c>
      <c r="AC475" s="165"/>
    </row>
    <row r="476" ht="15.75" customHeight="1">
      <c r="F476" s="205"/>
      <c r="V476" s="209"/>
      <c r="W476" s="209"/>
      <c r="Z476" s="165" t="str">
        <f>IFERROR(__xludf.DUMMYFUNCTION("""COMPUTED_VALUE"""),"Gravity Drained Tank Modeling")</f>
        <v>Gravity Drained Tank Modeling</v>
      </c>
      <c r="AA476" s="165" t="str">
        <f>IFERROR(__xludf.DUMMYFUNCTION("""COMPUTED_VALUE"""),"Accepted")</f>
        <v>Accepted</v>
      </c>
      <c r="AB476" s="166" t="str">
        <f>IFERROR(__xludf.DUMMYFUNCTION("""COMPUTED_VALUE"""),"https://straweb.org/symposium/bali-stra-19-20-dec-2023
")</f>
        <v>https://straweb.org/symposium/bali-stra-19-20-dec-2023
</v>
      </c>
      <c r="AC476" s="165"/>
    </row>
    <row r="477" ht="15.75" customHeight="1">
      <c r="F477" s="205"/>
      <c r="V477" s="209"/>
      <c r="W477" s="209"/>
      <c r="Z477" s="165" t="str">
        <f>IFERROR(__xludf.DUMMYFUNCTION("""COMPUTED_VALUE"""),"Enhancing Safe Handling for Autonomous Fruit Inspection Through Tactile Sensing in a Gripper Robot")</f>
        <v>Enhancing Safe Handling for Autonomous Fruit Inspection Through Tactile Sensing in a Gripper Robot</v>
      </c>
      <c r="AA477" s="165" t="str">
        <f>IFERROR(__xludf.DUMMYFUNCTION("""COMPUTED_VALUE"""),"Accepted")</f>
        <v>Accepted</v>
      </c>
      <c r="AB477" s="166" t="str">
        <f>IFERROR(__xludf.DUMMYFUNCTION("""COMPUTED_VALUE"""),"https://conference.brin.go.id/icfas2023/")</f>
        <v>https://conference.brin.go.id/icfas2023/</v>
      </c>
      <c r="AC477" s="165"/>
    </row>
    <row r="478" ht="15.75" customHeight="1">
      <c r="F478" s="205"/>
      <c r="V478" s="209"/>
      <c r="W478" s="209"/>
      <c r="Z478" s="165" t="str">
        <f>IFERROR(__xludf.DUMMYFUNCTION("""COMPUTED_VALUE"""),"Trespassing Detection System on a Smart Video Surveillance System for Level Crossing")</f>
        <v>Trespassing Detection System on a Smart Video Surveillance System for Level Crossing</v>
      </c>
      <c r="AA478" s="165" t="str">
        <f>IFERROR(__xludf.DUMMYFUNCTION("""COMPUTED_VALUE"""),"Accepted")</f>
        <v>Accepted</v>
      </c>
      <c r="AB478" s="166" t="str">
        <f>IFERROR(__xludf.DUMMYFUNCTION("""COMPUTED_VALUE"""),"https://iciss.goesmart.id/")</f>
        <v>https://iciss.goesmart.id/</v>
      </c>
      <c r="AC478" s="165"/>
    </row>
    <row r="479" ht="15.75" customHeight="1">
      <c r="F479" s="205"/>
      <c r="V479" s="209"/>
      <c r="W479" s="209"/>
      <c r="Z479" s="165" t="str">
        <f>IFERROR(__xludf.DUMMYFUNCTION("""COMPUTED_VALUE"""),"Morning Chronotypes and Post-Lunch Dip: An Investigation of Driving Fatigue in Well-Rested Subjects
")</f>
        <v>Morning Chronotypes and Post-Lunch Dip: An Investigation of Driving Fatigue in Well-Rested Subjects
</v>
      </c>
      <c r="AA479" s="165" t="str">
        <f>IFERROR(__xludf.DUMMYFUNCTION("""COMPUTED_VALUE"""),"Accepted")</f>
        <v>Accepted</v>
      </c>
      <c r="AB479" s="165"/>
      <c r="AC479" s="165"/>
    </row>
    <row r="480" ht="15.75" customHeight="1">
      <c r="F480" s="205"/>
      <c r="V480" s="209"/>
      <c r="W480" s="209"/>
      <c r="Z480" s="165" t="str">
        <f>IFERROR(__xludf.DUMMYFUNCTION("""COMPUTED_VALUE"""),"Design of IoT Based AC Electric Vehicle Supply Equipment")</f>
        <v>Design of IoT Based AC Electric Vehicle Supply Equipment</v>
      </c>
      <c r="AA480" s="165" t="str">
        <f>IFERROR(__xludf.DUMMYFUNCTION("""COMPUTED_VALUE"""),"Accepted")</f>
        <v>Accepted</v>
      </c>
      <c r="AB480" s="165"/>
      <c r="AC480" s="165"/>
    </row>
    <row r="481" ht="15.75" customHeight="1">
      <c r="F481" s="205"/>
      <c r="V481" s="209"/>
      <c r="W481" s="209"/>
      <c r="Z481" s="165" t="str">
        <f>IFERROR(__xludf.DUMMYFUNCTION("""COMPUTED_VALUE"""),"Raspberry-Pi Based Unmanned Ground Vehicle Location Monitoring System")</f>
        <v>Raspberry-Pi Based Unmanned Ground Vehicle Location Monitoring System</v>
      </c>
      <c r="AA481" s="165" t="str">
        <f>IFERROR(__xludf.DUMMYFUNCTION("""COMPUTED_VALUE"""),"Accepted")</f>
        <v>Accepted</v>
      </c>
      <c r="AB481" s="165"/>
      <c r="AC481" s="165"/>
    </row>
    <row r="482" ht="15.75" customHeight="1">
      <c r="F482" s="205"/>
      <c r="V482" s="209"/>
      <c r="W482" s="209"/>
      <c r="Z482" s="165" t="str">
        <f>IFERROR(__xludf.DUMMYFUNCTION("""COMPUTED_VALUE"""),"Automated Return-to-Base Navigation of Unmanned Ground Vehicle with Fuzzy Logic Controller")</f>
        <v>Automated Return-to-Base Navigation of Unmanned Ground Vehicle with Fuzzy Logic Controller</v>
      </c>
      <c r="AA482" s="165" t="str">
        <f>IFERROR(__xludf.DUMMYFUNCTION("""COMPUTED_VALUE"""),"Accepted")</f>
        <v>Accepted</v>
      </c>
      <c r="AB482" s="165"/>
      <c r="AC482" s="165"/>
    </row>
    <row r="483" ht="15.75" customHeight="1">
      <c r="F483" s="205"/>
      <c r="V483" s="209"/>
      <c r="W483" s="209"/>
      <c r="Z483" s="165" t="str">
        <f>IFERROR(__xludf.DUMMYFUNCTION("""COMPUTED_VALUE"""),"Characterization of EEG-P300 Signals in Drug Users")</f>
        <v>Characterization of EEG-P300 Signals in Drug Users</v>
      </c>
      <c r="AA483" s="165" t="str">
        <f>IFERROR(__xludf.DUMMYFUNCTION("""COMPUTED_VALUE"""),"Accepted")</f>
        <v>Accepted</v>
      </c>
      <c r="AB483" s="165"/>
      <c r="AC483" s="165"/>
    </row>
    <row r="484" ht="15.75" customHeight="1">
      <c r="F484" s="205"/>
      <c r="V484" s="209"/>
      <c r="W484" s="209"/>
      <c r="Z484" s="165" t="str">
        <f>IFERROR(__xludf.DUMMYFUNCTION("""COMPUTED_VALUE"""),"Limiting Factors of Simultaneous Measurement Method for Turbidity and Total Suspended Solids Based on Image Processing Approaches")</f>
        <v>Limiting Factors of Simultaneous Measurement Method for Turbidity and Total Suspended Solids Based on Image Processing Approaches</v>
      </c>
      <c r="AA484" s="165" t="str">
        <f>IFERROR(__xludf.DUMMYFUNCTION("""COMPUTED_VALUE"""),"Accepted")</f>
        <v>Accepted</v>
      </c>
      <c r="AB484" s="165"/>
      <c r="AC484" s="165"/>
    </row>
    <row r="485" ht="15.75" customHeight="1">
      <c r="F485" s="205"/>
      <c r="V485" s="209"/>
      <c r="W485" s="209"/>
      <c r="Z485" s="165" t="str">
        <f>IFERROR(__xludf.DUMMYFUNCTION("""COMPUTED_VALUE"""),"The Benefits of Using a Passive Exoskeleton and its Potential for Industrial Sector : A Systematic Review")</f>
        <v>The Benefits of Using a Passive Exoskeleton and its Potential for Industrial Sector : A Systematic Review</v>
      </c>
      <c r="AA485" s="165" t="str">
        <f>IFERROR(__xludf.DUMMYFUNCTION("""COMPUTED_VALUE"""),"Accepted")</f>
        <v>Accepted</v>
      </c>
      <c r="AB485" s="165"/>
      <c r="AC485" s="165"/>
    </row>
    <row r="486" ht="15.75" customHeight="1">
      <c r="F486" s="205"/>
      <c r="V486" s="209"/>
      <c r="W486" s="209"/>
      <c r="Z486" s="165" t="str">
        <f>IFERROR(__xludf.DUMMYFUNCTION("""COMPUTED_VALUE"""),"Analysis of Power Consumption for Electrical Motor on Automatic Micro Electric Vehicle (MEVi)")</f>
        <v>Analysis of Power Consumption for Electrical Motor on Automatic Micro Electric Vehicle (MEVi)</v>
      </c>
      <c r="AA486" s="165" t="str">
        <f>IFERROR(__xludf.DUMMYFUNCTION("""COMPUTED_VALUE"""),"Accepted")</f>
        <v>Accepted</v>
      </c>
      <c r="AB486" s="165"/>
      <c r="AC486" s="165"/>
    </row>
    <row r="487" ht="15.75" customHeight="1">
      <c r="F487" s="205"/>
      <c r="V487" s="209"/>
      <c r="W487" s="209"/>
      <c r="Z487" s="165" t="str">
        <f>IFERROR(__xludf.DUMMYFUNCTION("""COMPUTED_VALUE"""),"Comparative Analysis of QRS Detection Algorithms: A Study on Accuracy and Processing Speed in Raspberry Pi Single-Board Computer")</f>
        <v>Comparative Analysis of QRS Detection Algorithms: A Study on Accuracy and Processing Speed in Raspberry Pi Single-Board Computer</v>
      </c>
      <c r="AA487" s="165" t="str">
        <f>IFERROR(__xludf.DUMMYFUNCTION("""COMPUTED_VALUE"""),"Accepted")</f>
        <v>Accepted</v>
      </c>
      <c r="AB487" s="165"/>
      <c r="AC487" s="165"/>
    </row>
    <row r="488" ht="15.75" customHeight="1">
      <c r="F488" s="205"/>
      <c r="V488" s="209"/>
      <c r="W488" s="209"/>
      <c r="Z488" s="165" t="str">
        <f>IFERROR(__xludf.DUMMYFUNCTION("""COMPUTED_VALUE"""),"A Novel Design and Performance Analysis of Piezoelectric Energy Harvester with Application to a Vehicle Suspension System Moving on Uniform Bridges")</f>
        <v>A Novel Design and Performance Analysis of Piezoelectric Energy Harvester with Application to a Vehicle Suspension System Moving on Uniform Bridges</v>
      </c>
      <c r="AA488" s="165" t="str">
        <f>IFERROR(__xludf.DUMMYFUNCTION("""COMPUTED_VALUE"""),"Accepted")</f>
        <v>Accepted</v>
      </c>
      <c r="AB488" s="166" t="str">
        <f>IFERROR(__xludf.DUMMYFUNCTION("""COMPUTED_VALUE"""),"https://drive.google.com/open?id=19Fy2Y2ruFrqfZkm4DJ1Gq0vVoQ3iuAjl")</f>
        <v>https://drive.google.com/open?id=19Fy2Y2ruFrqfZkm4DJ1Gq0vVoQ3iuAjl</v>
      </c>
      <c r="AC488" s="165"/>
    </row>
    <row r="489" ht="15.75" customHeight="1">
      <c r="F489" s="205"/>
      <c r="V489" s="209"/>
      <c r="W489" s="209"/>
      <c r="Z489" s="165" t="str">
        <f>IFERROR(__xludf.DUMMYFUNCTION("""COMPUTED_VALUE"""),"Design and Hydrodynamic Analysis of Buoy Structure with Dynamic Vibration Absorber System")</f>
        <v>Design and Hydrodynamic Analysis of Buoy Structure with Dynamic Vibration Absorber System</v>
      </c>
      <c r="AA489" s="165" t="str">
        <f>IFERROR(__xludf.DUMMYFUNCTION("""COMPUTED_VALUE"""),"Accepted")</f>
        <v>Accepted</v>
      </c>
      <c r="AB489" s="166" t="str">
        <f>IFERROR(__xludf.DUMMYFUNCTION("""COMPUTED_VALUE"""),"https://drive.google.com/open?id=1hUhJUYhHN-RpGawH6rLIo5ZZq37rWQR4")</f>
        <v>https://drive.google.com/open?id=1hUhJUYhHN-RpGawH6rLIo5ZZq37rWQR4</v>
      </c>
      <c r="AC489" s="165"/>
    </row>
    <row r="490" ht="15.75" customHeight="1">
      <c r="F490" s="205"/>
      <c r="V490" s="209"/>
      <c r="W490" s="209"/>
      <c r="Z490" s="165" t="str">
        <f>IFERROR(__xludf.DUMMYFUNCTION("""COMPUTED_VALUE"""),"Fire Resistant Composite Laminates from GFRP Reinforced Natural Fibers")</f>
        <v>Fire Resistant Composite Laminates from GFRP Reinforced Natural Fibers</v>
      </c>
      <c r="AA490" s="165" t="str">
        <f>IFERROR(__xludf.DUMMYFUNCTION("""COMPUTED_VALUE"""),"Accepted")</f>
        <v>Accepted</v>
      </c>
      <c r="AB490" s="165"/>
      <c r="AC490" s="165"/>
    </row>
    <row r="491" ht="15.75" customHeight="1">
      <c r="F491" s="205"/>
      <c r="V491" s="209"/>
      <c r="W491" s="209"/>
      <c r="Z491" s="165" t="str">
        <f>IFERROR(__xludf.DUMMYFUNCTION("""COMPUTED_VALUE"""),"Network Flow-based Dataset Generator based on OpenFlow SDN")</f>
        <v>Network Flow-based Dataset Generator based on OpenFlow SDN</v>
      </c>
      <c r="AA491" s="165" t="str">
        <f>IFERROR(__xludf.DUMMYFUNCTION("""COMPUTED_VALUE"""),"Accepted")</f>
        <v>Accepted</v>
      </c>
      <c r="AB491" s="165"/>
      <c r="AC491" s="165"/>
    </row>
    <row r="492" ht="15.75" customHeight="1">
      <c r="F492" s="205"/>
      <c r="V492" s="209"/>
      <c r="W492" s="209"/>
      <c r="Z492" s="165" t="str">
        <f>IFERROR(__xludf.DUMMYFUNCTION("""COMPUTED_VALUE"""),"Study on Thick Film Humidity Sensor using PVA-Gelatin-SnO2 Sensing Layer")</f>
        <v>Study on Thick Film Humidity Sensor using PVA-Gelatin-SnO2 Sensing Layer</v>
      </c>
      <c r="AA492" s="165" t="str">
        <f>IFERROR(__xludf.DUMMYFUNCTION("""COMPUTED_VALUE"""),"Accepted")</f>
        <v>Accepted</v>
      </c>
      <c r="AB492" s="165"/>
      <c r="AC492" s="165"/>
    </row>
    <row r="493" ht="15.75" customHeight="1">
      <c r="F493" s="205"/>
      <c r="V493" s="209"/>
      <c r="W493" s="209"/>
      <c r="Z493" s="165" t="str">
        <f>IFERROR(__xludf.DUMMYFUNCTION("""COMPUTED_VALUE"""),"Line Tracking Algorithm Based On Computer Vision Leveraging Stereo Camera To Support Decision Of Automated Guided Vehicle Navigation")</f>
        <v>Line Tracking Algorithm Based On Computer Vision Leveraging Stereo Camera To Support Decision Of Automated Guided Vehicle Navigation</v>
      </c>
      <c r="AA493" s="165" t="str">
        <f>IFERROR(__xludf.DUMMYFUNCTION("""COMPUTED_VALUE"""),"Accepted")</f>
        <v>Accepted</v>
      </c>
      <c r="AB493" s="165"/>
      <c r="AC493" s="165"/>
    </row>
    <row r="494" ht="15.75" customHeight="1">
      <c r="F494" s="205"/>
      <c r="V494" s="209"/>
      <c r="W494" s="209"/>
      <c r="Z494" s="165" t="str">
        <f>IFERROR(__xludf.DUMMYFUNCTION("""COMPUTED_VALUE"""),"Preliminary Studies for Cracking Sound Identification During Coffee Roasting
")</f>
        <v>Preliminary Studies for Cracking Sound Identification During Coffee Roasting
</v>
      </c>
      <c r="AA494" s="165" t="str">
        <f>IFERROR(__xludf.DUMMYFUNCTION("""COMPUTED_VALUE"""),"Accepted")</f>
        <v>Accepted</v>
      </c>
      <c r="AB494" s="166" t="str">
        <f>IFERROR(__xludf.DUMMYFUNCTION("""COMPUTED_VALUE"""),"ICRAMET 2023 – Conference BRIN")</f>
        <v>ICRAMET 2023 – Conference BRIN</v>
      </c>
      <c r="AC494" s="165"/>
    </row>
    <row r="495" ht="15.75" customHeight="1">
      <c r="F495" s="205"/>
      <c r="V495" s="209"/>
      <c r="W495" s="209"/>
      <c r="Z495" s="165" t="str">
        <f>IFERROR(__xludf.DUMMYFUNCTION("""COMPUTED_VALUE"""),"Face recognition with anti spoofing eye blink detection")</f>
        <v>Face recognition with anti spoofing eye blink detection</v>
      </c>
      <c r="AA495" s="165" t="str">
        <f>IFERROR(__xludf.DUMMYFUNCTION("""COMPUTED_VALUE"""),"Published")</f>
        <v>Published</v>
      </c>
      <c r="AB495" s="166" t="str">
        <f>IFERROR(__xludf.DUMMYFUNCTION("""COMPUTED_VALUE"""),"https://www.scopus.com/record/display.uri?eid=2-s2.0-85149988475&amp;origin=resultslist&amp;sort=plf-f")</f>
        <v>https://www.scopus.com/record/display.uri?eid=2-s2.0-85149988475&amp;origin=resultslist&amp;sort=plf-f</v>
      </c>
      <c r="AC495" s="165"/>
    </row>
    <row r="496" ht="15.75" customHeight="1">
      <c r="F496" s="205"/>
      <c r="V496" s="209"/>
      <c r="W496" s="209"/>
      <c r="Z496" s="165" t="str">
        <f>IFERROR(__xludf.DUMMYFUNCTION("""COMPUTED_VALUE"""),"Liveness detection with image quality assessment")</f>
        <v>Liveness detection with image quality assessment</v>
      </c>
      <c r="AA496" s="165" t="str">
        <f>IFERROR(__xludf.DUMMYFUNCTION("""COMPUTED_VALUE"""),"Published")</f>
        <v>Published</v>
      </c>
      <c r="AB496" s="166" t="str">
        <f>IFERROR(__xludf.DUMMYFUNCTION("""COMPUTED_VALUE"""),"https://www.scopus.com/record/display.uri?eid=2-s2.0-85149955664&amp;origin=resultslist&amp;sort=plf-f")</f>
        <v>https://www.scopus.com/record/display.uri?eid=2-s2.0-85149955664&amp;origin=resultslist&amp;sort=plf-f</v>
      </c>
      <c r="AC496" s="165"/>
    </row>
    <row r="497" ht="15.75" customHeight="1">
      <c r="F497" s="205"/>
      <c r="V497" s="209"/>
      <c r="W497" s="209"/>
      <c r="Z497" s="165" t="str">
        <f>IFERROR(__xludf.DUMMYFUNCTION("""COMPUTED_VALUE"""),"Organizational Culture Analysis in the Implementation of Knowledge Management in Government Research Agency")</f>
        <v>Organizational Culture Analysis in the Implementation of Knowledge Management in Government Research Agency</v>
      </c>
      <c r="AA497" s="165" t="str">
        <f>IFERROR(__xludf.DUMMYFUNCTION("""COMPUTED_VALUE"""),"Published")</f>
        <v>Published</v>
      </c>
      <c r="AB497" s="166" t="str">
        <f>IFERROR(__xludf.DUMMYFUNCTION("""COMPUTED_VALUE"""),"https://www.scopus.com/record/display.uri?eid=2-s2.0-85149932199&amp;origin=resultslist&amp;sort=plf-f")</f>
        <v>https://www.scopus.com/record/display.uri?eid=2-s2.0-85149932199&amp;origin=resultslist&amp;sort=plf-f</v>
      </c>
      <c r="AC497" s="165"/>
    </row>
    <row r="498" ht="15.75" customHeight="1">
      <c r="F498" s="205"/>
      <c r="V498" s="209"/>
      <c r="W498" s="209"/>
      <c r="Z498" s="165" t="str">
        <f>IFERROR(__xludf.DUMMYFUNCTION("""COMPUTED_VALUE"""),"Gamification in Software Development: Systematic Literature Review")</f>
        <v>Gamification in Software Development: Systematic Literature Review</v>
      </c>
      <c r="AA498" s="165" t="str">
        <f>IFERROR(__xludf.DUMMYFUNCTION("""COMPUTED_VALUE"""),"Published")</f>
        <v>Published</v>
      </c>
      <c r="AB498" s="166" t="str">
        <f>IFERROR(__xludf.DUMMYFUNCTION("""COMPUTED_VALUE"""),"https://www.scopus.com/record/display.uri?eid=2-s2.0-85137548033&amp;origin=resultslist&amp;sort=plf-f")</f>
        <v>https://www.scopus.com/record/display.uri?eid=2-s2.0-85137548033&amp;origin=resultslist&amp;sort=plf-f</v>
      </c>
      <c r="AC498" s="165"/>
    </row>
    <row r="499" ht="15.75" customHeight="1">
      <c r="F499" s="205"/>
      <c r="V499" s="209"/>
      <c r="W499" s="209"/>
      <c r="Z499" s="166" t="str">
        <f>IFERROR(__xludf.DUMMYFUNCTION("""COMPUTED_VALUE"""),"Cluster-based text mining for extracting drug candidates for the prevention of COVID-19 from the biomedical literature")</f>
        <v>Cluster-based text mining for extracting drug candidates for the prevention of COVID-19 from the biomedical literature</v>
      </c>
      <c r="AA499" s="165" t="str">
        <f>IFERROR(__xludf.DUMMYFUNCTION("""COMPUTED_VALUE"""),"Published")</f>
        <v>Published</v>
      </c>
      <c r="AB499" s="166" t="str">
        <f>IFERROR(__xludf.DUMMYFUNCTION("""COMPUTED_VALUE"""),"https://www.scopus.com/record/display.uri?eid=2-s2.0-85147352029&amp;origin=resultslist&amp;sort=plf-f")</f>
        <v>https://www.scopus.com/record/display.uri?eid=2-s2.0-85147352029&amp;origin=resultslist&amp;sort=plf-f</v>
      </c>
      <c r="AC499" s="165"/>
    </row>
    <row r="500" ht="15.75" customHeight="1">
      <c r="F500" s="205"/>
      <c r="V500" s="209"/>
      <c r="W500" s="209"/>
      <c r="Z500" s="165" t="str">
        <f>IFERROR(__xludf.DUMMYFUNCTION("""COMPUTED_VALUE"""),"Performance Face Image Quality Assessment under the Difference of Illumination Directions in Face Recognition System using FaceQnet, SDD-FIQA, and SER-FIQ")</f>
        <v>Performance Face Image Quality Assessment under the Difference of Illumination Directions in Face Recognition System using FaceQnet, SDD-FIQA, and SER-FIQ</v>
      </c>
      <c r="AA500" s="165" t="str">
        <f>IFERROR(__xludf.DUMMYFUNCTION("""COMPUTED_VALUE"""),"Published")</f>
        <v>Published</v>
      </c>
      <c r="AB500" s="166" t="str">
        <f>IFERROR(__xludf.DUMMYFUNCTION("""COMPUTED_VALUE"""),"https://www.scopus.com/record/display.uri?eid=2-s2.0-85149360879&amp;origin=resultslist&amp;sort=plf-f&amp;src=s&amp;st1=Performance+Face+Image+Quality+Assessment+under+the+Difference+of+Illumination+Directions+in+Face+Recognition+System+using+FaceQnet%2c+SDD-FIQA%2c+and"&amp;"+SER-FIQ&amp;sid=1373a4468a13e41c38bc1985bc03e66d&amp;sot=b&amp;sdt=b&amp;sl=169&amp;s=TITLE-ABS-KEY%28Performance+Face+Image+Quality+Assessment+under+the+Difference+of+Illumination+Directions+in+Face+Recognition+System+using+FaceQnet%2c+SDD-FIQA%2c+and+SER-FIQ%29&amp;relpos=0&amp;c"&amp;"iteCnt=0&amp;searchTerm=")</f>
        <v>https://www.scopus.com/record/display.uri?eid=2-s2.0-85149360879&amp;origin=resultslist&amp;sort=plf-f&amp;src=s&amp;st1=Performance+Face+Image+Quality+Assessment+under+the+Difference+of+Illumination+Directions+in+Face+Recognition+System+using+FaceQnet%2c+SDD-FIQA%2c+and+SER-FIQ&amp;sid=1373a4468a13e41c38bc1985bc03e66d&amp;sot=b&amp;sdt=b&amp;sl=169&amp;s=TITLE-ABS-KEY%28Performance+Face+Image+Quality+Assessment+under+the+Difference+of+Illumination+Directions+in+Face+Recognition+System+using+FaceQnet%2c+SDD-FIQA%2c+and+SER-FIQ%29&amp;relpos=0&amp;citeCnt=0&amp;searchTerm=</v>
      </c>
      <c r="AC500" s="165"/>
    </row>
    <row r="501" ht="15.75" customHeight="1">
      <c r="F501" s="205"/>
      <c r="V501" s="209"/>
      <c r="W501" s="209"/>
      <c r="Z501" s="165" t="str">
        <f>IFERROR(__xludf.DUMMYFUNCTION("""COMPUTED_VALUE"""),"Image Segmentation for Aspergillus, Cladosporium, and Trichoderma Fungus")</f>
        <v>Image Segmentation for Aspergillus, Cladosporium, and Trichoderma Fungus</v>
      </c>
      <c r="AA501" s="165" t="str">
        <f>IFERROR(__xludf.DUMMYFUNCTION("""COMPUTED_VALUE"""),"Published")</f>
        <v>Published</v>
      </c>
      <c r="AB501" s="166" t="str">
        <f>IFERROR(__xludf.DUMMYFUNCTION("""COMPUTED_VALUE"""),"https://www.scopus.com/record/display.uri?eid=2-s2.0-85149366108&amp;origin=resultslist&amp;sort=plf-f&amp;src=s&amp;st1=Image+Segmentation+for+Aspergillus%2c+Cladosporium%2c+and+Trichoderma+Fungus&amp;sid=b920b2df789d138d32fb73242eefbab1&amp;sot=b&amp;sdt=b&amp;sl=87&amp;s=TITLE-ABS-KEY%28"&amp;"Image+Segmentation+for+Aspergillus%2c+Cladosporium%2c+and+Trichoderma+Fungus%29&amp;relpos=0&amp;citeCnt=0&amp;searchTerm=")</f>
        <v>https://www.scopus.com/record/display.uri?eid=2-s2.0-85149366108&amp;origin=resultslist&amp;sort=plf-f&amp;src=s&amp;st1=Image+Segmentation+for+Aspergillus%2c+Cladosporium%2c+and+Trichoderma+Fungus&amp;sid=b920b2df789d138d32fb73242eefbab1&amp;sot=b&amp;sdt=b&amp;sl=87&amp;s=TITLE-ABS-KEY%28Image+Segmentation+for+Aspergillus%2c+Cladosporium%2c+and+Trichoderma+Fungus%29&amp;relpos=0&amp;citeCnt=0&amp;searchTerm=</v>
      </c>
      <c r="AC501" s="165"/>
    </row>
    <row r="502" ht="15.75" customHeight="1">
      <c r="F502" s="205"/>
      <c r="V502" s="209"/>
      <c r="W502" s="209"/>
      <c r="Z502" s="165" t="str">
        <f>IFERROR(__xludf.DUMMYFUNCTION("""COMPUTED_VALUE"""),"Designing An Ecosystem Model for E-Government Ontology Development Using Ecosystem Pie Model")</f>
        <v>Designing An Ecosystem Model for E-Government Ontology Development Using Ecosystem Pie Model</v>
      </c>
      <c r="AA502" s="165" t="str">
        <f>IFERROR(__xludf.DUMMYFUNCTION("""COMPUTED_VALUE"""),"Published")</f>
        <v>Published</v>
      </c>
      <c r="AB502" s="166" t="str">
        <f>IFERROR(__xludf.DUMMYFUNCTION("""COMPUTED_VALUE"""),"https://www.scopus.com/record/display.uri?eid=2-s2.0-85150458501&amp;origin=resultslist&amp;sort=plf-f&amp;src=s&amp;st1=Designing+An+Ecosystem+Model+for+E-Government+Ontology+Development+Using+Ecosystem+Pie+Model&amp;sid=bdcfff92f3437de386fe3eca06812cfd&amp;sot=b&amp;sdt=b&amp;sl=107&amp;s"&amp;"=TITLE-ABS-KEY%28Designing+An+Ecosystem+Model+for+E-Government+Ontology+Development+Using+Ecosystem+Pie+Model%29&amp;relpos=0&amp;citeCnt=0&amp;searchTerm=")</f>
        <v>https://www.scopus.com/record/display.uri?eid=2-s2.0-85150458501&amp;origin=resultslist&amp;sort=plf-f&amp;src=s&amp;st1=Designing+An+Ecosystem+Model+for+E-Government+Ontology+Development+Using+Ecosystem+Pie+Model&amp;sid=bdcfff92f3437de386fe3eca06812cfd&amp;sot=b&amp;sdt=b&amp;sl=107&amp;s=TITLE-ABS-KEY%28Designing+An+Ecosystem+Model+for+E-Government+Ontology+Development+Using+Ecosystem+Pie+Model%29&amp;relpos=0&amp;citeCnt=0&amp;searchTerm=</v>
      </c>
      <c r="AC502" s="165"/>
    </row>
    <row r="503" ht="15.75" customHeight="1">
      <c r="F503" s="205"/>
      <c r="V503" s="209"/>
      <c r="W503" s="209"/>
      <c r="Z503" s="165" t="str">
        <f>IFERROR(__xludf.DUMMYFUNCTION("""COMPUTED_VALUE"""),"Innovative Technology Adoption of Cross-Border Runners as a Trusted Service of Information Preservation")</f>
        <v>Innovative Technology Adoption of Cross-Border Runners as a Trusted Service of Information Preservation</v>
      </c>
      <c r="AA503" s="165" t="str">
        <f>IFERROR(__xludf.DUMMYFUNCTION("""COMPUTED_VALUE"""),"Published")</f>
        <v>Published</v>
      </c>
      <c r="AB503" s="166" t="str">
        <f>IFERROR(__xludf.DUMMYFUNCTION("""COMPUTED_VALUE"""),"https://www.igi-global.com/chapter/innovative-technology-adoption-of-cross-border-runners-as-a-trusted-service-of-information-preservation/316814")</f>
        <v>https://www.igi-global.com/chapter/innovative-technology-adoption-of-cross-border-runners-as-a-trusted-service-of-information-preservation/316814</v>
      </c>
      <c r="AC503" s="165"/>
    </row>
    <row r="504" ht="15.75" customHeight="1">
      <c r="F504" s="205"/>
      <c r="V504" s="209"/>
      <c r="W504" s="209"/>
      <c r="Z504" s="165" t="str">
        <f>IFERROR(__xludf.DUMMYFUNCTION("""COMPUTED_VALUE"""),"Managing Information System Risk Audit: Logistics Organization Security Disintermediation of Digital Transformation")</f>
        <v>Managing Information System Risk Audit: Logistics Organization Security Disintermediation of Digital Transformation</v>
      </c>
      <c r="AA504" s="165" t="str">
        <f>IFERROR(__xludf.DUMMYFUNCTION("""COMPUTED_VALUE"""),"Published")</f>
        <v>Published</v>
      </c>
      <c r="AB504" s="166" t="str">
        <f>IFERROR(__xludf.DUMMYFUNCTION("""COMPUTED_VALUE"""),"https://www.igi-global.com/chapter/managing-information-system-risk-audit/316805")</f>
        <v>https://www.igi-global.com/chapter/managing-information-system-risk-audit/316805</v>
      </c>
      <c r="AC504" s="165"/>
    </row>
    <row r="505" ht="15.75" customHeight="1">
      <c r="F505" s="205"/>
      <c r="V505" s="209"/>
      <c r="W505" s="209"/>
      <c r="Z505" s="165" t="str">
        <f>IFERROR(__xludf.DUMMYFUNCTION("""COMPUTED_VALUE"""),"Addressing the Research Gap on the Effects of Employee Performance on Implementation of TQM From the Perspective of Working Mothers. ")</f>
        <v>Addressing the Research Gap on the Effects of Employee Performance on Implementation of TQM From the Perspective of Working Mothers. </v>
      </c>
      <c r="AA505" s="165" t="str">
        <f>IFERROR(__xludf.DUMMYFUNCTION("""COMPUTED_VALUE"""),"Published")</f>
        <v>Published</v>
      </c>
      <c r="AB505" s="166" t="str">
        <f>IFERROR(__xludf.DUMMYFUNCTION("""COMPUTED_VALUE"""),"https://www.igi-global.com/chapter/addressing-the-research-gap-on-the-effects-of-employee-performance-on-implementation-of-tqm-from-the-perspective-of-working-mothers/314802")</f>
        <v>https://www.igi-global.com/chapter/addressing-the-research-gap-on-the-effects-of-employee-performance-on-implementation-of-tqm-from-the-perspective-of-working-mothers/314802</v>
      </c>
      <c r="AC505" s="165"/>
    </row>
    <row r="506" ht="15.75" customHeight="1">
      <c r="F506" s="205"/>
      <c r="V506" s="209"/>
      <c r="W506" s="209"/>
      <c r="Z506" s="165" t="str">
        <f>IFERROR(__xludf.DUMMYFUNCTION("""COMPUTED_VALUE"""),"Artificial Intelligence, Blockchain Framework, Cyberthreat Defenses of Resilient Digital Ecosystems. ")</f>
        <v>Artificial Intelligence, Blockchain Framework, Cyberthreat Defenses of Resilient Digital Ecosystems. </v>
      </c>
      <c r="AA506" s="165" t="str">
        <f>IFERROR(__xludf.DUMMYFUNCTION("""COMPUTED_VALUE"""),"Published")</f>
        <v>Published</v>
      </c>
      <c r="AB506" s="166" t="str">
        <f>IFERROR(__xludf.DUMMYFUNCTION("""COMPUTED_VALUE"""),"https://www.igi-global.com/chapter/artificial-intelligence-blockchain-framework-cyberthreat-defenses-of-resilient-digital-ecosystems/314438")</f>
        <v>https://www.igi-global.com/chapter/artificial-intelligence-blockchain-framework-cyberthreat-defenses-of-resilient-digital-ecosystems/314438</v>
      </c>
      <c r="AC506" s="165"/>
    </row>
    <row r="507" ht="15.75" customHeight="1">
      <c r="F507" s="205"/>
      <c r="V507" s="209"/>
      <c r="W507" s="209"/>
      <c r="Z507" s="165" t="str">
        <f>IFERROR(__xludf.DUMMYFUNCTION("""COMPUTED_VALUE"""),"Reengineering Digital Education, Integrated Online and Traditional Learning, Shifting Paradigm of Blended Learning in Time and Post-Pandemic COVID-19. 
")</f>
        <v>Reengineering Digital Education, Integrated Online and Traditional Learning, Shifting Paradigm of Blended Learning in Time and Post-Pandemic COVID-19. 
</v>
      </c>
      <c r="AA507" s="165" t="str">
        <f>IFERROR(__xludf.DUMMYFUNCTION("""COMPUTED_VALUE"""),"Published")</f>
        <v>Published</v>
      </c>
      <c r="AB507" s="166" t="str">
        <f>IFERROR(__xludf.DUMMYFUNCTION("""COMPUTED_VALUE"""),"https://www.igi-global.com/chapter/reengineering-digital-education-integrated-online-and-traditional-learning-shifting-paradigm-of-blended-learning-in-time-and-post-pandemic-covid-19/314275")</f>
        <v>https://www.igi-global.com/chapter/reengineering-digital-education-integrated-online-and-traditional-learning-shifting-paradigm-of-blended-learning-in-time-and-post-pandemic-covid-19/314275</v>
      </c>
      <c r="AC507" s="165"/>
    </row>
    <row r="508" ht="15.75" customHeight="1">
      <c r="F508" s="205"/>
      <c r="V508" s="209"/>
      <c r="W508" s="209"/>
      <c r="Z508" s="165" t="str">
        <f>IFERROR(__xludf.DUMMYFUNCTION("""COMPUTED_VALUE"""),"Learning Management Systems, Education Technology Advancement, Successes Adoption of Delone-McLean Model Approaches. 
")</f>
        <v>Learning Management Systems, Education Technology Advancement, Successes Adoption of Delone-McLean Model Approaches. 
</v>
      </c>
      <c r="AA508" s="165" t="str">
        <f>IFERROR(__xludf.DUMMYFUNCTION("""COMPUTED_VALUE"""),"Published")</f>
        <v>Published</v>
      </c>
      <c r="AB508" s="166" t="str">
        <f>IFERROR(__xludf.DUMMYFUNCTION("""COMPUTED_VALUE"""),"https://www.igi-global.com/chapter/learning-management-systems-education-technology-advancement-successes-adoption-of-delone-mclean-model-approaches/314263")</f>
        <v>https://www.igi-global.com/chapter/learning-management-systems-education-technology-advancement-successes-adoption-of-delone-mclean-model-approaches/314263</v>
      </c>
      <c r="AC508" s="165"/>
    </row>
    <row r="509" ht="15.75" customHeight="1">
      <c r="F509" s="205"/>
      <c r="V509" s="209"/>
      <c r="W509" s="209"/>
      <c r="Z509" s="165" t="str">
        <f>IFERROR(__xludf.DUMMYFUNCTION("""COMPUTED_VALUE"""),"Digital Education, Learning Management Systems: Shifting Paradigm of Education Technology Within Digital Ecosystems")</f>
        <v>Digital Education, Learning Management Systems: Shifting Paradigm of Education Technology Within Digital Ecosystems</v>
      </c>
      <c r="AA509" s="165" t="str">
        <f>IFERROR(__xludf.DUMMYFUNCTION("""COMPUTED_VALUE"""),"Published")</f>
        <v>Published</v>
      </c>
      <c r="AB509" s="166" t="str">
        <f>IFERROR(__xludf.DUMMYFUNCTION("""COMPUTED_VALUE"""),"https://www.igi-global.com/chapter/digital-education-learning-management-systems/314255")</f>
        <v>https://www.igi-global.com/chapter/digital-education-learning-management-systems/314255</v>
      </c>
      <c r="AC509" s="165"/>
    </row>
    <row r="510" ht="15.75" customHeight="1">
      <c r="F510" s="205"/>
      <c r="V510" s="209"/>
      <c r="W510" s="209"/>
      <c r="Z510" s="165" t="str">
        <f>IFERROR(__xludf.DUMMYFUNCTION("""COMPUTED_VALUE"""),"QoS Analysis of Site-to-Site VPN and Its Integration Potential for Securing Communication on Electric Vehicles")</f>
        <v>QoS Analysis of Site-to-Site VPN and Its Integration Potential for Securing Communication on Electric Vehicles</v>
      </c>
      <c r="AA510" s="165" t="str">
        <f>IFERROR(__xludf.DUMMYFUNCTION("""COMPUTED_VALUE"""),"Published")</f>
        <v>Published</v>
      </c>
      <c r="AB510" s="166" t="str">
        <f>IFERROR(__xludf.DUMMYFUNCTION("""COMPUTED_VALUE"""),"https://www.scopus.com/record/display.uri?eid=2-s2.0-85149411642&amp;origin=resultslist&amp;sort=plf-f&amp;src=s&amp;st1=ic3ina&amp;nlo=&amp;nlr=&amp;nls=&amp;sid=47f52d088affb2f8e751fa8ebc992ec4&amp;sot=b&amp;sdt=sisr&amp;sl=12&amp;s=CONF%28ic3ina%29&amp;ref=%28QoS+Analysis+of+Site-to-Site+VPN+and+Its+Int"&amp;"egration+Potential+for+Securing+Communication+on+Electric+Vehicles%29&amp;relpos=0&amp;citeCnt=0&amp;searchTerm=")</f>
        <v>https://www.scopus.com/record/display.uri?eid=2-s2.0-85149411642&amp;origin=resultslist&amp;sort=plf-f&amp;src=s&amp;st1=ic3ina&amp;nlo=&amp;nlr=&amp;nls=&amp;sid=47f52d088affb2f8e751fa8ebc992ec4&amp;sot=b&amp;sdt=sisr&amp;sl=12&amp;s=CONF%28ic3ina%29&amp;ref=%28QoS+Analysis+of+Site-to-Site+VPN+and+Its+Integration+Potential+for+Securing+Communication+on+Electric+Vehicles%29&amp;relpos=0&amp;citeCnt=0&amp;searchTerm=</v>
      </c>
      <c r="AC510" s="165"/>
    </row>
    <row r="511" ht="15.75" customHeight="1">
      <c r="F511" s="205"/>
      <c r="V511" s="209"/>
      <c r="W511" s="209"/>
      <c r="Z511" s="165" t="str">
        <f>IFERROR(__xludf.DUMMYFUNCTION("""COMPUTED_VALUE"""),"Accelerating Encrypted Watermarking using Wavelet Transform and CKKS Homomorphic Encryption")</f>
        <v>Accelerating Encrypted Watermarking using Wavelet Transform and CKKS Homomorphic Encryption</v>
      </c>
      <c r="AA511" s="165" t="str">
        <f>IFERROR(__xludf.DUMMYFUNCTION("""COMPUTED_VALUE"""),"Published")</f>
        <v>Published</v>
      </c>
      <c r="AB511" s="166" t="str">
        <f>IFERROR(__xludf.DUMMYFUNCTION("""COMPUTED_VALUE"""),"https://www.scopus.com/record/display.uri?eid=2-s2.0-85149421851&amp;origin=resultslist&amp;sort=plf-f&amp;src=s&amp;st1=ic3ina&amp;nlo=&amp;nlr=&amp;nls=&amp;sid=c7dca33ffad147620d40eb6981071c08&amp;sot=b&amp;sdt=sisr&amp;sl=12&amp;s=CONF%28ic3ina%29&amp;ref=%28Accelerating+Encrypted+Watermarking+using+Wa"&amp;"velet+Transform+and+CKKS+Homomorphic+Encryption%29&amp;relpos=0&amp;citeCnt=0&amp;searchTerm=")</f>
        <v>https://www.scopus.com/record/display.uri?eid=2-s2.0-85149421851&amp;origin=resultslist&amp;sort=plf-f&amp;src=s&amp;st1=ic3ina&amp;nlo=&amp;nlr=&amp;nls=&amp;sid=c7dca33ffad147620d40eb6981071c08&amp;sot=b&amp;sdt=sisr&amp;sl=12&amp;s=CONF%28ic3ina%29&amp;ref=%28Accelerating+Encrypted+Watermarking+using+Wavelet+Transform+and+CKKS+Homomorphic+Encryption%29&amp;relpos=0&amp;citeCnt=0&amp;searchTerm=</v>
      </c>
      <c r="AC511" s="165"/>
    </row>
    <row r="512" ht="15.75" customHeight="1">
      <c r="F512" s="205"/>
      <c r="V512" s="209"/>
      <c r="W512" s="209"/>
      <c r="Z512" s="165" t="str">
        <f>IFERROR(__xludf.DUMMYFUNCTION("""COMPUTED_VALUE"""),"Comparison between Grad-CAM and EigenCAM on YOLOv5 detection model")</f>
        <v>Comparison between Grad-CAM and EigenCAM on YOLOv5 detection model</v>
      </c>
      <c r="AA512" s="165" t="str">
        <f>IFERROR(__xludf.DUMMYFUNCTION("""COMPUTED_VALUE"""),"Published")</f>
        <v>Published</v>
      </c>
      <c r="AB512" s="166" t="str">
        <f>IFERROR(__xludf.DUMMYFUNCTION("""COMPUTED_VALUE"""),"https://ieeexplore.ieee.org/abstract/document/9980734")</f>
        <v>https://ieeexplore.ieee.org/abstract/document/9980734</v>
      </c>
      <c r="AC512" s="165"/>
    </row>
    <row r="513" ht="15.75" customHeight="1">
      <c r="F513" s="205"/>
      <c r="V513" s="209"/>
      <c r="W513" s="209"/>
      <c r="Z513" s="165" t="str">
        <f>IFERROR(__xludf.DUMMYFUNCTION("""COMPUTED_VALUE"""),"Face Presentation Attack Detection using Color Spaces Features and Convolutional Neural Network")</f>
        <v>Face Presentation Attack Detection using Color Spaces Features and Convolutional Neural Network</v>
      </c>
      <c r="AA513" s="165" t="str">
        <f>IFERROR(__xludf.DUMMYFUNCTION("""COMPUTED_VALUE"""),"Published")</f>
        <v>Published</v>
      </c>
      <c r="AB513" s="166" t="str">
        <f>IFERROR(__xludf.DUMMYFUNCTION("""COMPUTED_VALUE"""),"https://www.scopus.com/record/display.uri?eid=2-s2.0-85150451762&amp;origin=resultslist&amp;sort=plf-f&amp;src=s&amp;st1=ICITISEE&amp;nlo=&amp;nlr=&amp;nls=&amp;sid=c31ecd1694261aeee9d58d9fdf7a6ecd&amp;sot=b&amp;sdt=sisr&amp;sl=14&amp;s=CONF%28ICITISEE%29&amp;ref=%28Face+Presentation+Attack+Detection+using"&amp;"+Color+Spaces+Features+and+Convolutional+Neural+Network%29&amp;relpos=0&amp;citeCnt=0&amp;searchTerm=")</f>
        <v>https://www.scopus.com/record/display.uri?eid=2-s2.0-85150451762&amp;origin=resultslist&amp;sort=plf-f&amp;src=s&amp;st1=ICITISEE&amp;nlo=&amp;nlr=&amp;nls=&amp;sid=c31ecd1694261aeee9d58d9fdf7a6ecd&amp;sot=b&amp;sdt=sisr&amp;sl=14&amp;s=CONF%28ICITISEE%29&amp;ref=%28Face+Presentation+Attack+Detection+using+Color+Spaces+Features+and+Convolutional+Neural+Network%29&amp;relpos=0&amp;citeCnt=0&amp;searchTerm=</v>
      </c>
      <c r="AC513" s="165"/>
    </row>
    <row r="514" ht="15.75" customHeight="1">
      <c r="F514" s="205"/>
      <c r="V514" s="209"/>
      <c r="W514" s="209"/>
      <c r="Z514" s="165" t="str">
        <f>IFERROR(__xludf.DUMMYFUNCTION("""COMPUTED_VALUE"""),"A Hybrid CNN-LSTM for Battery Remaining Useful Life Prediction with Charging Profiles Data")</f>
        <v>A Hybrid CNN-LSTM for Battery Remaining Useful Life Prediction with Charging Profiles Data</v>
      </c>
      <c r="AA514" s="165" t="str">
        <f>IFERROR(__xludf.DUMMYFUNCTION("""COMPUTED_VALUE"""),"Published")</f>
        <v>Published</v>
      </c>
      <c r="AB514" s="166" t="str">
        <f>IFERROR(__xludf.DUMMYFUNCTION("""COMPUTED_VALUE"""),"https://doi.org/10.1145/3575882.3575903")</f>
        <v>https://doi.org/10.1145/3575882.3575903</v>
      </c>
      <c r="AC514" s="165"/>
    </row>
    <row r="515" ht="15.75" customHeight="1">
      <c r="F515" s="205"/>
      <c r="V515" s="209"/>
      <c r="W515" s="209"/>
      <c r="Z515" s="165" t="str">
        <f>IFERROR(__xludf.DUMMYFUNCTION("""COMPUTED_VALUE"""),"A Knowledge Graph Exploration Method with No Prior Knowledge")</f>
        <v>A Knowledge Graph Exploration Method with No Prior Knowledge</v>
      </c>
      <c r="AA515" s="165" t="str">
        <f>IFERROR(__xludf.DUMMYFUNCTION("""COMPUTED_VALUE"""),"Published")</f>
        <v>Published</v>
      </c>
      <c r="AB515" s="166" t="str">
        <f>IFERROR(__xludf.DUMMYFUNCTION("""COMPUTED_VALUE"""),"https://doi.org/10.1145/3575882.3575918")</f>
        <v>https://doi.org/10.1145/3575882.3575918</v>
      </c>
      <c r="AC515" s="165"/>
    </row>
    <row r="516" ht="15.75" customHeight="1">
      <c r="F516" s="205"/>
      <c r="V516" s="209"/>
      <c r="W516" s="209"/>
      <c r="Z516" s="165" t="str">
        <f>IFERROR(__xludf.DUMMYFUNCTION("""COMPUTED_VALUE"""),"A scientific expertise classification model based on experts’ self-claims using the semantic and the TF-IDF approach
")</f>
        <v>A scientific expertise classification model based on experts’ self-claims using the semantic and the TF-IDF approach
</v>
      </c>
      <c r="AA516" s="165" t="str">
        <f>IFERROR(__xludf.DUMMYFUNCTION("""COMPUTED_VALUE"""),"Published")</f>
        <v>Published</v>
      </c>
      <c r="AB516" s="166" t="str">
        <f>IFERROR(__xludf.DUMMYFUNCTION("""COMPUTED_VALUE"""),"https://doi.org/10.1145/3575882.3575940")</f>
        <v>https://doi.org/10.1145/3575882.3575940</v>
      </c>
      <c r="AC516" s="165"/>
    </row>
    <row r="517" ht="15.75" customHeight="1">
      <c r="F517" s="205"/>
      <c r="V517" s="209"/>
      <c r="W517" s="209"/>
      <c r="Z517" s="165" t="str">
        <f>IFERROR(__xludf.DUMMYFUNCTION("""COMPUTED_VALUE"""),"Deep Learning for Robust Speech Command Recognition Using Convolutional Neural Networks (CNN)")</f>
        <v>Deep Learning for Robust Speech Command Recognition Using Convolutional Neural Networks (CNN)</v>
      </c>
      <c r="AA517" s="165" t="str">
        <f>IFERROR(__xludf.DUMMYFUNCTION("""COMPUTED_VALUE"""),"Published")</f>
        <v>Published</v>
      </c>
      <c r="AB517" s="166" t="str">
        <f>IFERROR(__xludf.DUMMYFUNCTION("""COMPUTED_VALUE"""),"https://doi.org/10.1145/3575882.3575902")</f>
        <v>https://doi.org/10.1145/3575882.3575902</v>
      </c>
      <c r="AC517" s="165"/>
    </row>
    <row r="518" ht="15.75" customHeight="1">
      <c r="F518" s="205"/>
      <c r="V518" s="209"/>
      <c r="W518" s="209"/>
      <c r="Z518" s="165" t="str">
        <f>IFERROR(__xludf.DUMMYFUNCTION("""COMPUTED_VALUE"""),"Design of Circular Polarization Microstrip Patch Antenna Combined with Conical Horn")</f>
        <v>Design of Circular Polarization Microstrip Patch Antenna Combined with Conical Horn</v>
      </c>
      <c r="AA518" s="165" t="str">
        <f>IFERROR(__xludf.DUMMYFUNCTION("""COMPUTED_VALUE"""),"Published")</f>
        <v>Published</v>
      </c>
      <c r="AB518" s="166" t="str">
        <f>IFERROR(__xludf.DUMMYFUNCTION("""COMPUTED_VALUE"""),"https://ieeexplore.ieee.org/document/9991200")</f>
        <v>https://ieeexplore.ieee.org/document/9991200</v>
      </c>
      <c r="AC518" s="165"/>
    </row>
    <row r="519" ht="15.75" customHeight="1">
      <c r="F519" s="205"/>
      <c r="V519" s="209"/>
      <c r="W519" s="209"/>
      <c r="Z519" s="165" t="str">
        <f>IFERROR(__xludf.DUMMYFUNCTION("""COMPUTED_VALUE"""),"Detection of Driver Drowsiness Based on Eyes and Mouth Movements Using Deep Convolutional Networks")</f>
        <v>Detection of Driver Drowsiness Based on Eyes and Mouth Movements Using Deep Convolutional Networks</v>
      </c>
      <c r="AA519" s="165" t="str">
        <f>IFERROR(__xludf.DUMMYFUNCTION("""COMPUTED_VALUE"""),"Published")</f>
        <v>Published</v>
      </c>
      <c r="AB519" s="166" t="str">
        <f>IFERROR(__xludf.DUMMYFUNCTION("""COMPUTED_VALUE"""),"https://doi.org/10.1145/3575882.3575909")</f>
        <v>https://doi.org/10.1145/3575882.3575909</v>
      </c>
      <c r="AC519" s="165"/>
    </row>
    <row r="520" ht="15.75" customHeight="1">
      <c r="F520" s="205"/>
      <c r="V520" s="209"/>
      <c r="W520" s="209"/>
      <c r="Z520" s="165" t="str">
        <f>IFERROR(__xludf.DUMMYFUNCTION("""COMPUTED_VALUE"""),"Development of the NOAA-19 Satellite Data Receiver Ingest System based on FPGA")</f>
        <v>Development of the NOAA-19 Satellite Data Receiver Ingest System based on FPGA</v>
      </c>
      <c r="AA520" s="165" t="str">
        <f>IFERROR(__xludf.DUMMYFUNCTION("""COMPUTED_VALUE"""),"Published")</f>
        <v>Published</v>
      </c>
      <c r="AB520" s="166" t="str">
        <f>IFERROR(__xludf.DUMMYFUNCTION("""COMPUTED_VALUE"""),"https://doi.org/10.1109/ICRAMET56917.2022.9991236")</f>
        <v>https://doi.org/10.1109/ICRAMET56917.2022.9991236</v>
      </c>
      <c r="AC520" s="165"/>
    </row>
    <row r="521" ht="15.75" customHeight="1">
      <c r="F521" s="205"/>
      <c r="V521" s="209"/>
      <c r="W521" s="209"/>
      <c r="Z521" s="165" t="str">
        <f>IFERROR(__xludf.DUMMYFUNCTION("""COMPUTED_VALUE"""),"Evaluation of Machine Learning Models for Detecting Disambiguation on Medical Abbreviations")</f>
        <v>Evaluation of Machine Learning Models for Detecting Disambiguation on Medical Abbreviations</v>
      </c>
      <c r="AA521" s="165" t="str">
        <f>IFERROR(__xludf.DUMMYFUNCTION("""COMPUTED_VALUE"""),"Published")</f>
        <v>Published</v>
      </c>
      <c r="AB521" s="166" t="str">
        <f>IFERROR(__xludf.DUMMYFUNCTION("""COMPUTED_VALUE"""),"https://dl.acm.org/doi/10.1145/3575882.3575907")</f>
        <v>https://dl.acm.org/doi/10.1145/3575882.3575907</v>
      </c>
      <c r="AC521" s="165"/>
    </row>
    <row r="522" ht="15.75" customHeight="1">
      <c r="F522" s="205"/>
      <c r="V522" s="209"/>
      <c r="W522" s="209"/>
      <c r="Z522" s="165" t="str">
        <f>IFERROR(__xludf.DUMMYFUNCTION("""COMPUTED_VALUE"""),"Pengembangan Integrasi Sistem Penerima Data Polar L-Band Orbit Multi-Satelit (Integration Development of Polar L-Band Orbit Multi-Satellite Data Receiver System)")</f>
        <v>Pengembangan Integrasi Sistem Penerima Data Polar L-Band Orbit Multi-Satelit (Integration Development of Polar L-Band Orbit Multi-Satellite Data Receiver System)</v>
      </c>
      <c r="AA522" s="165" t="str">
        <f>IFERROR(__xludf.DUMMYFUNCTION("""COMPUTED_VALUE"""),"Published")</f>
        <v>Published</v>
      </c>
      <c r="AB522" s="166" t="str">
        <f>IFERROR(__xludf.DUMMYFUNCTION("""COMPUTED_VALUE"""),"https://doi.org/10.1109/ICITISEE57756.2022.10057916")</f>
        <v>https://doi.org/10.1109/ICITISEE57756.2022.10057916</v>
      </c>
      <c r="AC522" s="165"/>
    </row>
    <row r="523" ht="15.75" customHeight="1">
      <c r="F523" s="205"/>
      <c r="V523" s="209"/>
      <c r="W523" s="209"/>
      <c r="Z523" s="165" t="str">
        <f>IFERROR(__xludf.DUMMYFUNCTION("""COMPUTED_VALUE"""),"Realtime Video Latency Reduction for Autonomous Vehicle Teleoperation Using RTMP Over UDP Protocols")</f>
        <v>Realtime Video Latency Reduction for Autonomous Vehicle Teleoperation Using RTMP Over UDP Protocols</v>
      </c>
      <c r="AA523" s="165" t="str">
        <f>IFERROR(__xludf.DUMMYFUNCTION("""COMPUTED_VALUE"""),"Published")</f>
        <v>Published</v>
      </c>
      <c r="AB523" s="166" t="str">
        <f>IFERROR(__xludf.DUMMYFUNCTION("""COMPUTED_VALUE"""),"https://doi.org/10.1145/3575882.3575891")</f>
        <v>https://doi.org/10.1145/3575882.3575891</v>
      </c>
      <c r="AC523" s="165"/>
    </row>
    <row r="524" ht="15.75" customHeight="1">
      <c r="F524" s="205"/>
      <c r="V524" s="209"/>
      <c r="W524" s="209"/>
      <c r="Z524" s="165" t="str">
        <f>IFERROR(__xludf.DUMMYFUNCTION("""COMPUTED_VALUE"""),"Usability and acceptance of crowd-based early warning of harmful algal blooms")</f>
        <v>Usability and acceptance of crowd-based early warning of harmful algal blooms</v>
      </c>
      <c r="AA524" s="165" t="str">
        <f>IFERROR(__xludf.DUMMYFUNCTION("""COMPUTED_VALUE"""),"Published")</f>
        <v>Published</v>
      </c>
      <c r="AB524" s="166" t="str">
        <f>IFERROR(__xludf.DUMMYFUNCTION("""COMPUTED_VALUE"""),"http://doi.org/10.7717/peerj.14923")</f>
        <v>http://doi.org/10.7717/peerj.14923</v>
      </c>
      <c r="AC524" s="165"/>
    </row>
    <row r="525" ht="15.75" customHeight="1">
      <c r="F525" s="205"/>
      <c r="V525" s="209"/>
      <c r="W525" s="209"/>
      <c r="Z525" s="165" t="str">
        <f>IFERROR(__xludf.DUMMYFUNCTION("""COMPUTED_VALUE"""),"Developing Semantic Annotation Representation of Social Media Sentiments and Metadata as Resource Description Framework: A Study of Indonesian New Capital Related Tweets Written in Bahasa")</f>
        <v>Developing Semantic Annotation Representation of Social Media Sentiments and Metadata as Resource Description Framework: A Study of Indonesian New Capital Related Tweets Written in Bahasa</v>
      </c>
      <c r="AA525" s="165" t="str">
        <f>IFERROR(__xludf.DUMMYFUNCTION("""COMPUTED_VALUE"""),"Published")</f>
        <v>Published</v>
      </c>
      <c r="AB525" s="166" t="str">
        <f>IFERROR(__xludf.DUMMYFUNCTION("""COMPUTED_VALUE"""),"https://doi.org/10.1145/3575882.3575926")</f>
        <v>https://doi.org/10.1145/3575882.3575926</v>
      </c>
      <c r="AC525" s="165"/>
    </row>
    <row r="526" ht="15.75" customHeight="1">
      <c r="F526" s="205"/>
      <c r="V526" s="209"/>
      <c r="W526" s="209"/>
      <c r="Z526" s="165" t="str">
        <f>IFERROR(__xludf.DUMMYFUNCTION("""COMPUTED_VALUE"""),"Sentiment Analysis of Indonesian New Capitol (IKN) Tweets by Stacked Generalization of Deep Learning")</f>
        <v>Sentiment Analysis of Indonesian New Capitol (IKN) Tweets by Stacked Generalization of Deep Learning</v>
      </c>
      <c r="AA526" s="165" t="str">
        <f>IFERROR(__xludf.DUMMYFUNCTION("""COMPUTED_VALUE"""),"Published")</f>
        <v>Published</v>
      </c>
      <c r="AB526" s="166" t="str">
        <f>IFERROR(__xludf.DUMMYFUNCTION("""COMPUTED_VALUE"""),"https://doi.org/10.1145/3575882.3575922")</f>
        <v>https://doi.org/10.1145/3575882.3575922</v>
      </c>
      <c r="AC526" s="165"/>
    </row>
    <row r="527" ht="15.75" customHeight="1">
      <c r="F527" s="205"/>
      <c r="V527" s="209"/>
      <c r="W527" s="209"/>
      <c r="Z527" s="165" t="str">
        <f>IFERROR(__xludf.DUMMYFUNCTION("""COMPUTED_VALUE"""),"Adversarial Networks-Based Speech Enhancement with Deep Regret Loss
")</f>
        <v>Adversarial Networks-Based Speech Enhancement with Deep Regret Loss
</v>
      </c>
      <c r="AA527" s="165" t="str">
        <f>IFERROR(__xludf.DUMMYFUNCTION("""COMPUTED_VALUE"""),"Published")</f>
        <v>Published</v>
      </c>
      <c r="AB527" s="166" t="str">
        <f>IFERROR(__xludf.DUMMYFUNCTION("""COMPUTED_VALUE"""),"http://doi.org/10.1109/NISS55057.2022.10085296")</f>
        <v>http://doi.org/10.1109/NISS55057.2022.10085296</v>
      </c>
      <c r="AC527" s="165"/>
    </row>
    <row r="528" ht="15.75" customHeight="1">
      <c r="F528" s="205"/>
      <c r="V528" s="209"/>
      <c r="W528" s="209"/>
      <c r="Z528" s="165" t="str">
        <f>IFERROR(__xludf.DUMMYFUNCTION("""COMPUTED_VALUE"""),"Innovative Blockchain-Based Tracking Systems, A Technology Acceptance for Cross-Border Runners during and Post-Pandemic")</f>
        <v>Innovative Blockchain-Based Tracking Systems, A Technology Acceptance for Cross-Border Runners during and Post-Pandemic</v>
      </c>
      <c r="AA528" s="165" t="str">
        <f>IFERROR(__xludf.DUMMYFUNCTION("""COMPUTED_VALUE"""),"Published")</f>
        <v>Published</v>
      </c>
      <c r="AB528" s="166" t="str">
        <f>IFERROR(__xludf.DUMMYFUNCTION("""COMPUTED_VALUE"""),"https://doi.org/10.3390/su15086519")</f>
        <v>https://doi.org/10.3390/su15086519</v>
      </c>
      <c r="AC528" s="165"/>
    </row>
    <row r="529" ht="15.75" customHeight="1">
      <c r="F529" s="205"/>
      <c r="V529" s="209"/>
      <c r="W529" s="209"/>
      <c r="Z529" s="165" t="str">
        <f>IFERROR(__xludf.DUMMYFUNCTION("""COMPUTED_VALUE"""),"Approximation-based homomorphic encryption for secure and efficient blockchain-driven watermarking service")</f>
        <v>Approximation-based homomorphic encryption for secure and efficient blockchain-driven watermarking service</v>
      </c>
      <c r="AA529" s="165" t="str">
        <f>IFERROR(__xludf.DUMMYFUNCTION("""COMPUTED_VALUE"""),"Published")</f>
        <v>Published</v>
      </c>
      <c r="AB529" s="166" t="str">
        <f>IFERROR(__xludf.DUMMYFUNCTION("""COMPUTED_VALUE"""),"https://www.scopus.com/record/display.uri?eid=2-s2.0-85151873001&amp;origin=resultslist&amp;sort=plf-f")</f>
        <v>https://www.scopus.com/record/display.uri?eid=2-s2.0-85151873001&amp;origin=resultslist&amp;sort=plf-f</v>
      </c>
      <c r="AC529" s="165"/>
    </row>
    <row r="530" ht="15.75" customHeight="1">
      <c r="F530" s="205"/>
      <c r="V530" s="209"/>
      <c r="W530" s="209"/>
      <c r="Z530" s="165" t="str">
        <f>IFERROR(__xludf.DUMMYFUNCTION("""COMPUTED_VALUE"""),"D-ViShaDeRec: Double Intensity of Video Shadow Detection, Removal, and Re-coloring in Autonomous Vehicle")</f>
        <v>D-ViShaDeRec: Double Intensity of Video Shadow Detection, Removal, and Re-coloring in Autonomous Vehicle</v>
      </c>
      <c r="AA530" s="165" t="str">
        <f>IFERROR(__xludf.DUMMYFUNCTION("""COMPUTED_VALUE"""),"Published")</f>
        <v>Published</v>
      </c>
      <c r="AB530" s="166" t="str">
        <f>IFERROR(__xludf.DUMMYFUNCTION("""COMPUTED_VALUE"""),"https://dl.acm.org/doi/10.1145/3575882.3575936")</f>
        <v>https://dl.acm.org/doi/10.1145/3575882.3575936</v>
      </c>
      <c r="AC530" s="165"/>
    </row>
    <row r="531" ht="15.75" customHeight="1">
      <c r="F531" s="205"/>
      <c r="V531" s="209"/>
      <c r="W531" s="209"/>
      <c r="Z531" s="165" t="str">
        <f>IFERROR(__xludf.DUMMYFUNCTION("""COMPUTED_VALUE"""),"DeRiBa-Fuz: Detection of Ripening Banana Using Fuzzy Logic with RGB and GLCM Extraction")</f>
        <v>DeRiBa-Fuz: Detection of Ripening Banana Using Fuzzy Logic with RGB and GLCM Extraction</v>
      </c>
      <c r="AA531" s="165" t="str">
        <f>IFERROR(__xludf.DUMMYFUNCTION("""COMPUTED_VALUE"""),"Published")</f>
        <v>Published</v>
      </c>
      <c r="AB531" s="166" t="str">
        <f>IFERROR(__xludf.DUMMYFUNCTION("""COMPUTED_VALUE"""),"https://ieeexplore.ieee.org/document/10055225")</f>
        <v>https://ieeexplore.ieee.org/document/10055225</v>
      </c>
      <c r="AC531" s="165"/>
    </row>
    <row r="532" ht="15.75" customHeight="1">
      <c r="F532" s="205"/>
      <c r="V532" s="209"/>
      <c r="W532" s="209"/>
      <c r="Z532" s="165" t="str">
        <f>IFERROR(__xludf.DUMMYFUNCTION("""COMPUTED_VALUE"""),"IRSD: Indonesian Regional Song Dataset")</f>
        <v>IRSD: Indonesian Regional Song Dataset</v>
      </c>
      <c r="AA532" s="165" t="str">
        <f>IFERROR(__xludf.DUMMYFUNCTION("""COMPUTED_VALUE"""),"Published")</f>
        <v>Published</v>
      </c>
      <c r="AB532" s="166" t="str">
        <f>IFERROR(__xludf.DUMMYFUNCTION("""COMPUTED_VALUE"""),"http://dx.doi.org/10.12785/ijcds/130189")</f>
        <v>http://dx.doi.org/10.12785/ijcds/130189</v>
      </c>
      <c r="AC532" s="165"/>
    </row>
    <row r="533" ht="15.75" customHeight="1">
      <c r="F533" s="205"/>
      <c r="V533" s="209"/>
      <c r="W533" s="209"/>
      <c r="Z533" s="165" t="str">
        <f>IFERROR(__xludf.DUMMYFUNCTION("""COMPUTED_VALUE"""),"Public Perception of Awareness and Adaptation of Cryptocurrency in Brunei Darussalam")</f>
        <v>Public Perception of Awareness and Adaptation of Cryptocurrency in Brunei Darussalam</v>
      </c>
      <c r="AA533" s="165" t="str">
        <f>IFERROR(__xludf.DUMMYFUNCTION("""COMPUTED_VALUE"""),"Published")</f>
        <v>Published</v>
      </c>
      <c r="AB533" s="166" t="str">
        <f>IFERROR(__xludf.DUMMYFUNCTION("""COMPUTED_VALUE"""),"https://www.igi-global.com/chapter/public-perception-of-awareness-and-adaptation-of-cryptocurrency-in-brunei-darussalam/321786")</f>
        <v>https://www.igi-global.com/chapter/public-perception-of-awareness-and-adaptation-of-cryptocurrency-in-brunei-darussalam/321786</v>
      </c>
      <c r="AC533" s="165"/>
    </row>
    <row r="534" ht="15.75" customHeight="1">
      <c r="F534" s="205"/>
      <c r="V534" s="209"/>
      <c r="W534" s="209"/>
      <c r="Z534" s="165" t="str">
        <f>IFERROR(__xludf.DUMMYFUNCTION("""COMPUTED_VALUE"""),"Hand Skeleton Graph Feature for Indonesian Sign Language (BISINDO) Recognition Based on Computer Vision")</f>
        <v>Hand Skeleton Graph Feature for Indonesian Sign Language (BISINDO) Recognition Based on Computer Vision</v>
      </c>
      <c r="AA534" s="165" t="str">
        <f>IFERROR(__xludf.DUMMYFUNCTION("""COMPUTED_VALUE"""),"Published")</f>
        <v>Published</v>
      </c>
      <c r="AB534" s="166" t="str">
        <f>IFERROR(__xludf.DUMMYFUNCTION("""COMPUTED_VALUE"""),"https://doi.org/10.1145/3575882.3575931")</f>
        <v>https://doi.org/10.1145/3575882.3575931</v>
      </c>
      <c r="AC534" s="165"/>
    </row>
    <row r="535" ht="15.75" customHeight="1">
      <c r="F535" s="205"/>
      <c r="V535" s="209"/>
      <c r="W535" s="209"/>
      <c r="Z535" s="165" t="str">
        <f>IFERROR(__xludf.DUMMYFUNCTION("""COMPUTED_VALUE"""),"The Role of Social Infrastructure in ICT Adoption Program: A Perspective from the Indonesian Regional Innovation System")</f>
        <v>The Role of Social Infrastructure in ICT Adoption Program: A Perspective from the Indonesian Regional Innovation System</v>
      </c>
      <c r="AA535" s="165" t="str">
        <f>IFERROR(__xludf.DUMMYFUNCTION("""COMPUTED_VALUE"""),"Published")</f>
        <v>Published</v>
      </c>
      <c r="AB535" s="166" t="str">
        <f>IFERROR(__xludf.DUMMYFUNCTION("""COMPUTED_VALUE"""),"https://doi.org/10.1142/S0219877023500384")</f>
        <v>https://doi.org/10.1142/S0219877023500384</v>
      </c>
      <c r="AC535" s="165"/>
    </row>
    <row r="536" ht="15.75" customHeight="1">
      <c r="F536" s="205"/>
      <c r="V536" s="209"/>
      <c r="W536" s="209"/>
      <c r="Z536" s="165" t="str">
        <f>IFERROR(__xludf.DUMMYFUNCTION("""COMPUTED_VALUE"""),"Disaster Tweet Classifications Using Hybrid Convolutional Layers and Gated Recurrent Unit")</f>
        <v>Disaster Tweet Classifications Using Hybrid Convolutional Layers and Gated Recurrent Unit</v>
      </c>
      <c r="AA536" s="165" t="str">
        <f>IFERROR(__xludf.DUMMYFUNCTION("""COMPUTED_VALUE"""),"Published")</f>
        <v>Published</v>
      </c>
      <c r="AB536" s="166" t="str">
        <f>IFERROR(__xludf.DUMMYFUNCTION("""COMPUTED_VALUE"""),"https://journal.uob.edu.bh/handle/123456789/4933")</f>
        <v>https://journal.uob.edu.bh/handle/123456789/4933</v>
      </c>
      <c r="AC536" s="165"/>
    </row>
    <row r="537" ht="15.75" customHeight="1">
      <c r="F537" s="205"/>
      <c r="V537" s="209"/>
      <c r="W537" s="209"/>
      <c r="Z537" s="165" t="str">
        <f>IFERROR(__xludf.DUMMYFUNCTION("""COMPUTED_VALUE"""),"Autoencoder-Based Feature Learning for Predicting Cardiovascular Disease")</f>
        <v>Autoencoder-Based Feature Learning for Predicting Cardiovascular Disease</v>
      </c>
      <c r="AA537" s="165" t="str">
        <f>IFERROR(__xludf.DUMMYFUNCTION("""COMPUTED_VALUE"""),"Published")</f>
        <v>Published</v>
      </c>
      <c r="AB537" s="166" t="str">
        <f>IFERROR(__xludf.DUMMYFUNCTION("""COMPUTED_VALUE"""),"https://journal.uob.edu.bh/handle/123456789/4889")</f>
        <v>https://journal.uob.edu.bh/handle/123456789/4889</v>
      </c>
      <c r="AC537" s="165"/>
    </row>
    <row r="538" ht="15.75" customHeight="1">
      <c r="F538" s="205"/>
      <c r="V538" s="209"/>
      <c r="W538" s="209"/>
      <c r="Z538" s="165" t="str">
        <f>IFERROR(__xludf.DUMMYFUNCTION("""COMPUTED_VALUE"""),"Wood Classification using Convolutional Neural Networks and Vessel Features on Limited Dataset
")</f>
        <v>Wood Classification using Convolutional Neural Networks and Vessel Features on Limited Dataset
</v>
      </c>
      <c r="AA538" s="165" t="str">
        <f>IFERROR(__xludf.DUMMYFUNCTION("""COMPUTED_VALUE"""),"Published")</f>
        <v>Published</v>
      </c>
      <c r="AB538" s="166" t="str">
        <f>IFERROR(__xludf.DUMMYFUNCTION("""COMPUTED_VALUE"""),"https://journal.uob.edu.bh/handle/123456789/4836")</f>
        <v>https://journal.uob.edu.bh/handle/123456789/4836</v>
      </c>
      <c r="AC538" s="165"/>
    </row>
    <row r="539" ht="15.75" customHeight="1">
      <c r="F539" s="205"/>
      <c r="V539" s="209"/>
      <c r="W539" s="209"/>
      <c r="Z539" s="165" t="str">
        <f>IFERROR(__xludf.DUMMYFUNCTION("""COMPUTED_VALUE"""),"Literature Review on Integrating Generalized Space-Time Autoregressive Integrated Moving Average (GSTARIMA) and Deep Neural Networks in Machine Learning for Climate Forecasting")</f>
        <v>Literature Review on Integrating Generalized Space-Time Autoregressive Integrated Moving Average (GSTARIMA) and Deep Neural Networks in Machine Learning for Climate Forecasting</v>
      </c>
      <c r="AA539" s="165" t="str">
        <f>IFERROR(__xludf.DUMMYFUNCTION("""COMPUTED_VALUE"""),"Published")</f>
        <v>Published</v>
      </c>
      <c r="AB539" s="166" t="str">
        <f>IFERROR(__xludf.DUMMYFUNCTION("""COMPUTED_VALUE"""),"https://doi.org/10.3390/math11132975")</f>
        <v>https://doi.org/10.3390/math11132975</v>
      </c>
      <c r="AC539" s="165"/>
    </row>
    <row r="540" ht="15.75" customHeight="1">
      <c r="F540" s="205"/>
      <c r="V540" s="209"/>
      <c r="W540" s="209"/>
      <c r="Z540" s="165" t="str">
        <f>IFERROR(__xludf.DUMMYFUNCTION("""COMPUTED_VALUE"""),"A Generalization of Sigmoid Loss Function Using Tsallis Statistics for Binary Classification")</f>
        <v>A Generalization of Sigmoid Loss Function Using Tsallis Statistics for Binary Classification</v>
      </c>
      <c r="AA540" s="165" t="str">
        <f>IFERROR(__xludf.DUMMYFUNCTION("""COMPUTED_VALUE"""),"Published")</f>
        <v>Published</v>
      </c>
      <c r="AB540" s="166" t="str">
        <f>IFERROR(__xludf.DUMMYFUNCTION("""COMPUTED_VALUE"""),"https://doi.org/10.1007/s11063-022-11087-y
")</f>
        <v>https://doi.org/10.1007/s11063-022-11087-y
</v>
      </c>
      <c r="AC540" s="165"/>
    </row>
    <row r="541" ht="15.75" customHeight="1">
      <c r="F541" s="205"/>
      <c r="V541" s="209"/>
      <c r="W541" s="209"/>
      <c r="Z541" s="165" t="str">
        <f>IFERROR(__xludf.DUMMYFUNCTION("""COMPUTED_VALUE"""),"Land cover multiclass classification of wonosobo, Indonesia with time series-based one-dimensional deep learning model
")</f>
        <v>Land cover multiclass classification of wonosobo, Indonesia with time series-based one-dimensional deep learning model
</v>
      </c>
      <c r="AA541" s="165" t="str">
        <f>IFERROR(__xludf.DUMMYFUNCTION("""COMPUTED_VALUE"""),"Published")</f>
        <v>Published</v>
      </c>
      <c r="AB541" s="166" t="str">
        <f>IFERROR(__xludf.DUMMYFUNCTION("""COMPUTED_VALUE"""),"https://doi.org/10.1016/j.rsase.2023.101040")</f>
        <v>https://doi.org/10.1016/j.rsase.2023.101040</v>
      </c>
      <c r="AC541" s="165"/>
    </row>
    <row r="542" ht="15.75" customHeight="1">
      <c r="F542" s="205"/>
      <c r="V542" s="209"/>
      <c r="W542" s="209"/>
      <c r="Z542" s="165" t="str">
        <f>IFERROR(__xludf.DUMMYFUNCTION("""COMPUTED_VALUE"""),"Test performance of electric vehicle charging station management system")</f>
        <v>Test performance of electric vehicle charging station management system</v>
      </c>
      <c r="AA542" s="165" t="str">
        <f>IFERROR(__xludf.DUMMYFUNCTION("""COMPUTED_VALUE"""),"Published")</f>
        <v>Published</v>
      </c>
      <c r="AB542" s="166" t="str">
        <f>IFERROR(__xludf.DUMMYFUNCTION("""COMPUTED_VALUE"""),"https://doi.org/10.1063/5.0121709")</f>
        <v>https://doi.org/10.1063/5.0121709</v>
      </c>
      <c r="AC542" s="165"/>
    </row>
    <row r="543" ht="15.75" customHeight="1">
      <c r="F543" s="205"/>
      <c r="V543" s="209"/>
      <c r="W543" s="209"/>
      <c r="Z543" s="165" t="str">
        <f>IFERROR(__xludf.DUMMYFUNCTION("""COMPUTED_VALUE"""),"TSUNAMI EVACUATION MODEL IN THE PANIMBANG SUBDISTRICT, BANTEN PROVINCE, INDONESIA: GIS- AND AGENT-BASED MODELING APPROACHES")</f>
        <v>TSUNAMI EVACUATION MODEL IN THE PANIMBANG SUBDISTRICT, BANTEN PROVINCE, INDONESIA: GIS- AND AGENT-BASED MODELING APPROACHES</v>
      </c>
      <c r="AA543" s="165" t="str">
        <f>IFERROR(__xludf.DUMMYFUNCTION("""COMPUTED_VALUE"""),"Published")</f>
        <v>Published</v>
      </c>
      <c r="AB543" s="166" t="str">
        <f>IFERROR(__xludf.DUMMYFUNCTION("""COMPUTED_VALUE"""),"https://doi.org/10.21163/GT_2023.182.10")</f>
        <v>https://doi.org/10.21163/GT_2023.182.10</v>
      </c>
      <c r="AC543" s="165"/>
    </row>
    <row r="544" ht="15.75" customHeight="1">
      <c r="F544" s="205"/>
      <c r="V544" s="209"/>
      <c r="W544" s="209"/>
      <c r="Z544" s="165" t="str">
        <f>IFERROR(__xludf.DUMMYFUNCTION("""COMPUTED_VALUE"""),"Regional Classification of Indonesian Folk Songs Based on K-NN and PCC-LDA Model")</f>
        <v>Regional Classification of Indonesian Folk Songs Based on K-NN and PCC-LDA Model</v>
      </c>
      <c r="AA544" s="165" t="str">
        <f>IFERROR(__xludf.DUMMYFUNCTION("""COMPUTED_VALUE"""),"Published")</f>
        <v>Published</v>
      </c>
      <c r="AB544" s="166" t="str">
        <f>IFERROR(__xludf.DUMMYFUNCTION("""COMPUTED_VALUE"""),"https://doi.org/10.1109/ICCoSITE57641.2023.10127794")</f>
        <v>https://doi.org/10.1109/ICCoSITE57641.2023.10127794</v>
      </c>
      <c r="AC544" s="165"/>
    </row>
    <row r="545" ht="15.75" customHeight="1">
      <c r="F545" s="205"/>
      <c r="V545" s="209"/>
      <c r="W545" s="209"/>
      <c r="Z545" s="165" t="str">
        <f>IFERROR(__xludf.DUMMYFUNCTION("""COMPUTED_VALUE"""),"Human resources planning using K-means clustering and Tabu search algorithm for workload balancing")</f>
        <v>Human resources planning using K-means clustering and Tabu search algorithm for workload balancing</v>
      </c>
      <c r="AA545" s="165" t="str">
        <f>IFERROR(__xludf.DUMMYFUNCTION("""COMPUTED_VALUE"""),"Published")</f>
        <v>Published</v>
      </c>
      <c r="AB545" s="166" t="str">
        <f>IFERROR(__xludf.DUMMYFUNCTION("""COMPUTED_VALUE"""),"https://doi.org/10.1063/5.0127468")</f>
        <v>https://doi.org/10.1063/5.0127468</v>
      </c>
      <c r="AC545" s="165"/>
    </row>
    <row r="546" ht="15.75" customHeight="1">
      <c r="F546" s="205"/>
      <c r="V546" s="209"/>
      <c r="W546" s="209"/>
      <c r="Z546" s="165" t="str">
        <f>IFERROR(__xludf.DUMMYFUNCTION("""COMPUTED_VALUE"""),"An optimized stator and rotor design of squirrel cage induction motor for EMU train")</f>
        <v>An optimized stator and rotor design of squirrel cage induction motor for EMU train</v>
      </c>
      <c r="AA546" s="165" t="str">
        <f>IFERROR(__xludf.DUMMYFUNCTION("""COMPUTED_VALUE"""),"Published")</f>
        <v>Published</v>
      </c>
      <c r="AB546" s="166" t="str">
        <f>IFERROR(__xludf.DUMMYFUNCTION("""COMPUTED_VALUE"""),"https://doi.org/10.14203/j.mev.2023.v14.35-46")</f>
        <v>https://doi.org/10.14203/j.mev.2023.v14.35-46</v>
      </c>
      <c r="AC546" s="165"/>
    </row>
    <row r="547" ht="15.75" customHeight="1">
      <c r="F547" s="205"/>
      <c r="V547" s="209"/>
      <c r="W547" s="209"/>
      <c r="Z547" s="165" t="str">
        <f>IFERROR(__xludf.DUMMYFUNCTION("""COMPUTED_VALUE"""),"Deep convolutional neural networks-based features for Indonesian large vocabulary speech recognition")</f>
        <v>Deep convolutional neural networks-based features for Indonesian large vocabulary speech recognition</v>
      </c>
      <c r="AA547" s="165" t="str">
        <f>IFERROR(__xludf.DUMMYFUNCTION("""COMPUTED_VALUE"""),"Published")</f>
        <v>Published</v>
      </c>
      <c r="AB547" s="166" t="str">
        <f>IFERROR(__xludf.DUMMYFUNCTION("""COMPUTED_VALUE"""),"https://doi.org/10.11591/ijai.v12.i2.pp610-617")</f>
        <v>https://doi.org/10.11591/ijai.v12.i2.pp610-617</v>
      </c>
      <c r="AC547" s="165"/>
    </row>
    <row r="548" ht="15.75" customHeight="1">
      <c r="F548" s="205"/>
      <c r="V548" s="209"/>
      <c r="W548" s="209"/>
      <c r="Z548" s="165" t="str">
        <f>IFERROR(__xludf.DUMMYFUNCTION("""COMPUTED_VALUE"""),"Application and Analysis of Remote Sensing for the Initial Baseline of the Quantitative Comfort Index in Ibukota Nusantara (IKN) and Its Surroundings")</f>
        <v>Application and Analysis of Remote Sensing for the Initial Baseline of the Quantitative Comfort Index in Ibukota Nusantara (IKN) and Its Surroundings</v>
      </c>
      <c r="AA548" s="165" t="str">
        <f>IFERROR(__xludf.DUMMYFUNCTION("""COMPUTED_VALUE"""),"Published")</f>
        <v>Published</v>
      </c>
      <c r="AB548" s="166" t="str">
        <f>IFERROR(__xludf.DUMMYFUNCTION("""COMPUTED_VALUE"""),"https://doi.org/10.1007/978-981-19-9768-6_78")</f>
        <v>https://doi.org/10.1007/978-981-19-9768-6_78</v>
      </c>
      <c r="AC548" s="165"/>
    </row>
    <row r="549" ht="15.75" customHeight="1">
      <c r="F549" s="205"/>
      <c r="V549" s="209"/>
      <c r="W549" s="209"/>
      <c r="Z549" s="165" t="str">
        <f>IFERROR(__xludf.DUMMYFUNCTION("""COMPUTED_VALUE"""),"The Impact of Climate Change on Meteorological Drought in Yogyakarta")</f>
        <v>The Impact of Climate Change on Meteorological Drought in Yogyakarta</v>
      </c>
      <c r="AA549" s="165" t="str">
        <f>IFERROR(__xludf.DUMMYFUNCTION("""COMPUTED_VALUE"""),"Published")</f>
        <v>Published</v>
      </c>
      <c r="AB549" s="166" t="str">
        <f>IFERROR(__xludf.DUMMYFUNCTION("""COMPUTED_VALUE"""),"https://doi.org/10.1007/978-981-19-9768-6_68")</f>
        <v>https://doi.org/10.1007/978-981-19-9768-6_68</v>
      </c>
      <c r="AC549" s="165"/>
    </row>
    <row r="550" ht="15.75" customHeight="1">
      <c r="F550" s="205"/>
      <c r="V550" s="209"/>
      <c r="W550" s="209"/>
      <c r="Z550" s="165" t="str">
        <f>IFERROR(__xludf.DUMMYFUNCTION("""COMPUTED_VALUE"""),"Evaluation of Detecting and Tracking Algorithms of Reflectivity Area Based on Rain Scanner Observation Data")</f>
        <v>Evaluation of Detecting and Tracking Algorithms of Reflectivity Area Based on Rain Scanner Observation Data</v>
      </c>
      <c r="AA550" s="165" t="str">
        <f>IFERROR(__xludf.DUMMYFUNCTION("""COMPUTED_VALUE"""),"Published")</f>
        <v>Published</v>
      </c>
      <c r="AB550" s="166" t="str">
        <f>IFERROR(__xludf.DUMMYFUNCTION("""COMPUTED_VALUE"""),"https://doi.org/10.1007/978-981-19-9768-6_74")</f>
        <v>https://doi.org/10.1007/978-981-19-9768-6_74</v>
      </c>
      <c r="AC550" s="165"/>
    </row>
    <row r="551" ht="15.75" customHeight="1">
      <c r="F551" s="205"/>
      <c r="V551" s="209"/>
      <c r="W551" s="209"/>
      <c r="Z551" s="165" t="str">
        <f>IFERROR(__xludf.DUMMYFUNCTION("""COMPUTED_VALUE"""),"Ensembles Simulation on the Seasonal Rainfall Characteristics Over Indonesia Maritime Continent")</f>
        <v>Ensembles Simulation on the Seasonal Rainfall Characteristics Over Indonesia Maritime Continent</v>
      </c>
      <c r="AA551" s="165" t="str">
        <f>IFERROR(__xludf.DUMMYFUNCTION("""COMPUTED_VALUE"""),"Published")</f>
        <v>Published</v>
      </c>
      <c r="AB551" s="166" t="str">
        <f>IFERROR(__xludf.DUMMYFUNCTION("""COMPUTED_VALUE"""),"https://doi.org/10.1007/978-981-19-9768-6_77")</f>
        <v>https://doi.org/10.1007/978-981-19-9768-6_77</v>
      </c>
      <c r="AC551" s="165"/>
    </row>
    <row r="552" ht="15.75" customHeight="1">
      <c r="F552" s="205"/>
      <c r="V552" s="209"/>
      <c r="W552" s="209"/>
      <c r="Z552" s="165" t="str">
        <f>IFERROR(__xludf.DUMMYFUNCTION("""COMPUTED_VALUE"""),"Method to Profiling the Characteristics of Indonesian Dangdut Songs, Using K-Means Clustering and Features Fusion,")</f>
        <v>Method to Profiling the Characteristics of Indonesian Dangdut Songs, Using K-Means Clustering and Features Fusion,</v>
      </c>
      <c r="AA552" s="165" t="str">
        <f>IFERROR(__xludf.DUMMYFUNCTION("""COMPUTED_VALUE"""),"Published")</f>
        <v>Published</v>
      </c>
      <c r="AB552" s="166" t="str">
        <f>IFERROR(__xludf.DUMMYFUNCTION("""COMPUTED_VALUE"""),"https://journal.uob.edu.bh/handle/123456789/5175")</f>
        <v>https://journal.uob.edu.bh/handle/123456789/5175</v>
      </c>
      <c r="AC552" s="165"/>
    </row>
    <row r="553" ht="15.75" customHeight="1">
      <c r="F553" s="205"/>
      <c r="V553" s="209"/>
      <c r="W553" s="209"/>
      <c r="Z553" s="165" t="str">
        <f>IFERROR(__xludf.DUMMYFUNCTION("""COMPUTED_VALUE"""),"Blockchain Research in Indonesia: A Bibliometric Analysis")</f>
        <v>Blockchain Research in Indonesia: A Bibliometric Analysis</v>
      </c>
      <c r="AA553" s="165" t="str">
        <f>IFERROR(__xludf.DUMMYFUNCTION("""COMPUTED_VALUE"""),"Published")</f>
        <v>Published</v>
      </c>
      <c r="AB553" s="166" t="str">
        <f>IFERROR(__xludf.DUMMYFUNCTION("""COMPUTED_VALUE"""),"https://ieeexplore.ieee.org/document/10249325")</f>
        <v>https://ieeexplore.ieee.org/document/10249325</v>
      </c>
      <c r="AC553" s="165"/>
    </row>
    <row r="554" ht="15.75" customHeight="1">
      <c r="F554" s="205"/>
      <c r="V554" s="209"/>
      <c r="W554" s="209"/>
      <c r="Z554" s="165" t="str">
        <f>IFERROR(__xludf.DUMMYFUNCTION("""COMPUTED_VALUE"""),"Emotion Recognition Model using Product Review from Indonesia Marketplace")</f>
        <v>Emotion Recognition Model using Product Review from Indonesia Marketplace</v>
      </c>
      <c r="AA554" s="165" t="str">
        <f>IFERROR(__xludf.DUMMYFUNCTION("""COMPUTED_VALUE"""),"Published")</f>
        <v>Published</v>
      </c>
      <c r="AB554" s="166" t="str">
        <f>IFERROR(__xludf.DUMMYFUNCTION("""COMPUTED_VALUE"""),"https://ieeexplore.ieee.org/document/10249811")</f>
        <v>https://ieeexplore.ieee.org/document/10249811</v>
      </c>
      <c r="AC554" s="165"/>
    </row>
    <row r="555" ht="15.75" customHeight="1">
      <c r="F555" s="205"/>
      <c r="V555" s="209"/>
      <c r="W555" s="209"/>
      <c r="Z555" s="165" t="str">
        <f>IFERROR(__xludf.DUMMYFUNCTION("""COMPUTED_VALUE"""),"Developing Indonesian Medical Corpora Using the Latent Dirichlet Allocation Method and Filtering Out Non-Medical Terms and Non-Noun Words")</f>
        <v>Developing Indonesian Medical Corpora Using the Latent Dirichlet Allocation Method and Filtering Out Non-Medical Terms and Non-Noun Words</v>
      </c>
      <c r="AA555" s="165" t="str">
        <f>IFERROR(__xludf.DUMMYFUNCTION("""COMPUTED_VALUE"""),"Published")</f>
        <v>Published</v>
      </c>
      <c r="AB555" s="166" t="str">
        <f>IFERROR(__xludf.DUMMYFUNCTION("""COMPUTED_VALUE"""),"https://ieeexplore.ieee.org/document/10250069/authors#authors")</f>
        <v>https://ieeexplore.ieee.org/document/10250069/authors#authors</v>
      </c>
      <c r="AC555" s="165"/>
    </row>
    <row r="556" ht="15.75" customHeight="1">
      <c r="F556" s="205"/>
      <c r="V556" s="209"/>
      <c r="W556" s="209"/>
      <c r="Z556" s="165" t="str">
        <f>IFERROR(__xludf.DUMMYFUNCTION("""COMPUTED_VALUE"""),"Enhancing Glioma Grading Performances: A Comparative Study on Feature Selection Techniques and Ensemble Machine Learning")</f>
        <v>Enhancing Glioma Grading Performances: A Comparative Study on Feature Selection Techniques and Ensemble Machine Learning</v>
      </c>
      <c r="AA556" s="165" t="str">
        <f>IFERROR(__xludf.DUMMYFUNCTION("""COMPUTED_VALUE"""),"Published")</f>
        <v>Published</v>
      </c>
      <c r="AB556" s="166" t="str">
        <f>IFERROR(__xludf.DUMMYFUNCTION("""COMPUTED_VALUE"""),"https://ieeexplore.ieee.org/document/10285778")</f>
        <v>https://ieeexplore.ieee.org/document/10285778</v>
      </c>
      <c r="AC556" s="165"/>
    </row>
    <row r="557" ht="15.75" customHeight="1">
      <c r="F557" s="205"/>
      <c r="V557" s="209"/>
      <c r="W557" s="209"/>
      <c r="Z557" s="165" t="str">
        <f>IFERROR(__xludf.DUMMYFUNCTION("""COMPUTED_VALUE"""),"Rain Scanner Radar and Optical Flow Combination For Early Identification of The Incoming Bow Echo Heavy Precipitation")</f>
        <v>Rain Scanner Radar and Optical Flow Combination For Early Identification of The Incoming Bow Echo Heavy Precipitation</v>
      </c>
      <c r="AA557" s="165" t="str">
        <f>IFERROR(__xludf.DUMMYFUNCTION("""COMPUTED_VALUE"""),"Published")</f>
        <v>Published</v>
      </c>
      <c r="AB557" s="166" t="str">
        <f>IFERROR(__xludf.DUMMYFUNCTION("""COMPUTED_VALUE"""),"https://doi.org/10.1088/1755-1315/1245/1/012031")</f>
        <v>https://doi.org/10.1088/1755-1315/1245/1/012031</v>
      </c>
      <c r="AC557" s="165"/>
    </row>
    <row r="558" ht="15.75" customHeight="1">
      <c r="F558" s="205"/>
      <c r="V558" s="209"/>
      <c r="W558" s="209"/>
      <c r="Z558" s="165" t="str">
        <f>IFERROR(__xludf.DUMMYFUNCTION("""COMPUTED_VALUE"""),"Evaluation of Emotion Recognition in Facial Image Using Attentive Deep Convolutional Neural Network")</f>
        <v>Evaluation of Emotion Recognition in Facial Image Using Attentive Deep Convolutional Neural Network</v>
      </c>
      <c r="AA558" s="165" t="str">
        <f>IFERROR(__xludf.DUMMYFUNCTION("""COMPUTED_VALUE"""),"Published")</f>
        <v>Published</v>
      </c>
      <c r="AB558" s="166" t="str">
        <f>IFERROR(__xludf.DUMMYFUNCTION("""COMPUTED_VALUE"""),"https://ieeexplore.ieee.org/abstract/document/10249341")</f>
        <v>https://ieeexplore.ieee.org/abstract/document/10249341</v>
      </c>
      <c r="AC558" s="165"/>
    </row>
    <row r="559" ht="15.75" customHeight="1">
      <c r="F559" s="205"/>
      <c r="V559" s="209"/>
      <c r="W559" s="209"/>
      <c r="Z559" s="165" t="str">
        <f>IFERROR(__xludf.DUMMYFUNCTION("""COMPUTED_VALUE"""),"Exploration of Human Emotion Recognition in Speech Data Based on Convolutional Neural Network with Mel and Delta Scale Features ")</f>
        <v>Exploration of Human Emotion Recognition in Speech Data Based on Convolutional Neural Network with Mel and Delta Scale Features </v>
      </c>
      <c r="AA559" s="165" t="str">
        <f>IFERROR(__xludf.DUMMYFUNCTION("""COMPUTED_VALUE"""),"Published")</f>
        <v>Published</v>
      </c>
      <c r="AB559" s="166" t="str">
        <f>IFERROR(__xludf.DUMMYFUNCTION("""COMPUTED_VALUE"""),"https://ieeexplore.ieee.org/abstract/document/10249577")</f>
        <v>https://ieeexplore.ieee.org/abstract/document/10249577</v>
      </c>
      <c r="AC559" s="165"/>
    </row>
    <row r="560" ht="15.75" customHeight="1">
      <c r="F560" s="205"/>
      <c r="V560" s="209"/>
      <c r="W560" s="209"/>
      <c r="Z560" s="165" t="str">
        <f>IFERROR(__xludf.DUMMYFUNCTION("""COMPUTED_VALUE"""),"The Power-Normalized Cepstral Coefficient (PNCC) for convolutional neural networks-based robust speech command recognition")</f>
        <v>The Power-Normalized Cepstral Coefficient (PNCC) for convolutional neural networks-based robust speech command recognition</v>
      </c>
      <c r="AA560" s="165" t="str">
        <f>IFERROR(__xludf.DUMMYFUNCTION("""COMPUTED_VALUE"""),"Published")</f>
        <v>Published</v>
      </c>
      <c r="AB560" s="166" t="str">
        <f>IFERROR(__xludf.DUMMYFUNCTION("""COMPUTED_VALUE"""),"https://iopscience.iop.org/article/10.1088/1742-6596/2596/1/012021/meta")</f>
        <v>https://iopscience.iop.org/article/10.1088/1742-6596/2596/1/012021/meta</v>
      </c>
      <c r="AC560" s="165"/>
    </row>
    <row r="561" ht="15.75" customHeight="1">
      <c r="F561" s="205"/>
      <c r="V561" s="209"/>
      <c r="W561" s="209"/>
      <c r="Z561" s="165" t="str">
        <f>IFERROR(__xludf.DUMMYFUNCTION("""COMPUTED_VALUE"""),"The Impact of Downsampling Methods on Face Recognition in Electronic Identity Card")</f>
        <v>The Impact of Downsampling Methods on Face Recognition in Electronic Identity Card</v>
      </c>
      <c r="AA561" s="165" t="str">
        <f>IFERROR(__xludf.DUMMYFUNCTION("""COMPUTED_VALUE"""),"Published")</f>
        <v>Published</v>
      </c>
      <c r="AB561" s="166" t="str">
        <f>IFERROR(__xludf.DUMMYFUNCTION("""COMPUTED_VALUE"""),"https://ieeexplore.ieee.org/document/10285777")</f>
        <v>https://ieeexplore.ieee.org/document/10285777</v>
      </c>
      <c r="AC561" s="165"/>
    </row>
    <row r="562" ht="15.75" customHeight="1">
      <c r="F562" s="205"/>
      <c r="V562" s="209"/>
      <c r="W562" s="209"/>
      <c r="Z562" s="165" t="str">
        <f>IFERROR(__xludf.DUMMYFUNCTION("""COMPUTED_VALUE"""),"Improvement of DART Algorithm Teletsunami Detection Response through Lengthening the Prediction Time")</f>
        <v>Improvement of DART Algorithm Teletsunami Detection Response through Lengthening the Prediction Time</v>
      </c>
      <c r="AA562" s="165" t="str">
        <f>IFERROR(__xludf.DUMMYFUNCTION("""COMPUTED_VALUE"""),"Published")</f>
        <v>Published</v>
      </c>
      <c r="AB562" s="166" t="str">
        <f>IFERROR(__xludf.DUMMYFUNCTION("""COMPUTED_VALUE"""),"https://ieeexplore.ieee.org/document/10285766")</f>
        <v>https://ieeexplore.ieee.org/document/10285766</v>
      </c>
      <c r="AC562" s="165"/>
    </row>
    <row r="563" ht="15.75" customHeight="1">
      <c r="F563" s="205"/>
      <c r="V563" s="209"/>
      <c r="W563" s="209"/>
      <c r="Z563" s="165" t="str">
        <f>IFERROR(__xludf.DUMMYFUNCTION("""COMPUTED_VALUE"""),"Unlocking the Power of Linked Data for Metadata Enrichment")</f>
        <v>Unlocking the Power of Linked Data for Metadata Enrichment</v>
      </c>
      <c r="AA563" s="165" t="str">
        <f>IFERROR(__xludf.DUMMYFUNCTION("""COMPUTED_VALUE"""),"Published")</f>
        <v>Published</v>
      </c>
      <c r="AB563" s="166" t="str">
        <f>IFERROR(__xludf.DUMMYFUNCTION("""COMPUTED_VALUE"""),"https://ieeexplore.ieee.org/document/10285760")</f>
        <v>https://ieeexplore.ieee.org/document/10285760</v>
      </c>
      <c r="AC563" s="165"/>
    </row>
    <row r="564" ht="15.75" customHeight="1">
      <c r="F564" s="205"/>
      <c r="V564" s="209"/>
      <c r="W564" s="209"/>
      <c r="Z564" s="165" t="str">
        <f>IFERROR(__xludf.DUMMYFUNCTION("""COMPUTED_VALUE"""),"Harmful Algal Blooms Prediction Model: Dealing With Limited Datasets")</f>
        <v>Harmful Algal Blooms Prediction Model: Dealing With Limited Datasets</v>
      </c>
      <c r="AA564" s="165" t="str">
        <f>IFERROR(__xludf.DUMMYFUNCTION("""COMPUTED_VALUE"""),"Published")</f>
        <v>Published</v>
      </c>
      <c r="AB564" s="166" t="str">
        <f>IFERROR(__xludf.DUMMYFUNCTION("""COMPUTED_VALUE"""),"https://ieeexplore.ieee.org/document/10285812")</f>
        <v>https://ieeexplore.ieee.org/document/10285812</v>
      </c>
      <c r="AC564" s="165"/>
    </row>
    <row r="565" ht="15.75" customHeight="1">
      <c r="F565" s="205"/>
      <c r="V565" s="209"/>
      <c r="W565" s="209"/>
      <c r="Z565" s="165" t="str">
        <f>IFERROR(__xludf.DUMMYFUNCTION("""COMPUTED_VALUE"""),"Revealing the Development of Fish Species Identification Process through An Ontology Mapping Approach")</f>
        <v>Revealing the Development of Fish Species Identification Process through An Ontology Mapping Approach</v>
      </c>
      <c r="AA565" s="165" t="str">
        <f>IFERROR(__xludf.DUMMYFUNCTION("""COMPUTED_VALUE"""),"Published")</f>
        <v>Published</v>
      </c>
      <c r="AB565" s="166" t="str">
        <f>IFERROR(__xludf.DUMMYFUNCTION("""COMPUTED_VALUE"""),"https://ieeexplore.ieee.org/document/10285733")</f>
        <v>https://ieeexplore.ieee.org/document/10285733</v>
      </c>
      <c r="AC565" s="165"/>
    </row>
    <row r="566" ht="15.75" customHeight="1">
      <c r="F566" s="205"/>
      <c r="V566" s="209"/>
      <c r="W566" s="209"/>
      <c r="Z566" s="165" t="str">
        <f>IFERROR(__xludf.DUMMYFUNCTION("""COMPUTED_VALUE"""),"Utilizing Knowledge Bases in Filtering IoT Data to Predict Algal Blooms")</f>
        <v>Utilizing Knowledge Bases in Filtering IoT Data to Predict Algal Blooms</v>
      </c>
      <c r="AA566" s="165" t="str">
        <f>IFERROR(__xludf.DUMMYFUNCTION("""COMPUTED_VALUE"""),"Published")</f>
        <v>Published</v>
      </c>
      <c r="AB566" s="166" t="str">
        <f>IFERROR(__xludf.DUMMYFUNCTION("""COMPUTED_VALUE"""),"https://ieeexplore.ieee.org/document/10285783")</f>
        <v>https://ieeexplore.ieee.org/document/10285783</v>
      </c>
      <c r="AC566" s="165"/>
    </row>
    <row r="567" ht="15.75" customHeight="1">
      <c r="F567" s="205"/>
      <c r="V567" s="209"/>
      <c r="W567" s="209"/>
      <c r="Z567" s="165" t="str">
        <f>IFERROR(__xludf.DUMMYFUNCTION("""COMPUTED_VALUE"""),"Assisting Crowdsourced Data Collection by using Data Mining Algorithms")</f>
        <v>Assisting Crowdsourced Data Collection by using Data Mining Algorithms</v>
      </c>
      <c r="AA567" s="165" t="str">
        <f>IFERROR(__xludf.DUMMYFUNCTION("""COMPUTED_VALUE"""),"Published")</f>
        <v>Published</v>
      </c>
      <c r="AB567" s="166" t="str">
        <f>IFERROR(__xludf.DUMMYFUNCTION("""COMPUTED_VALUE"""),"https://ieeexplore.ieee.org/document/10285735")</f>
        <v>https://ieeexplore.ieee.org/document/10285735</v>
      </c>
      <c r="AC567" s="165"/>
    </row>
    <row r="568" ht="15.75" customHeight="1">
      <c r="F568" s="205"/>
      <c r="V568" s="209"/>
      <c r="W568" s="209"/>
      <c r="Z568" s="165" t="str">
        <f>IFERROR(__xludf.DUMMYFUNCTION("""COMPUTED_VALUE"""),"The Impact of Eyebrows Region on Deep Face Recognition")</f>
        <v>The Impact of Eyebrows Region on Deep Face Recognition</v>
      </c>
      <c r="AA568" s="165" t="str">
        <f>IFERROR(__xludf.DUMMYFUNCTION("""COMPUTED_VALUE"""),"Published")</f>
        <v>Published</v>
      </c>
      <c r="AB568" s="166" t="str">
        <f>IFERROR(__xludf.DUMMYFUNCTION("""COMPUTED_VALUE"""),"https://ieeexplore.ieee.org/document/10285734")</f>
        <v>https://ieeexplore.ieee.org/document/10285734</v>
      </c>
      <c r="AC568" s="165"/>
    </row>
    <row r="569" ht="15.75" customHeight="1">
      <c r="F569" s="205"/>
      <c r="V569" s="209"/>
      <c r="W569" s="209"/>
      <c r="Z569" s="165" t="str">
        <f>IFERROR(__xludf.DUMMYFUNCTION("""COMPUTED_VALUE"""),"CFPChain: An Optimization of Research Funding Selection System Employing A Consortium Blockchain Based Approach")</f>
        <v>CFPChain: An Optimization of Research Funding Selection System Employing A Consortium Blockchain Based Approach</v>
      </c>
      <c r="AA569" s="165" t="str">
        <f>IFERROR(__xludf.DUMMYFUNCTION("""COMPUTED_VALUE"""),"Published")</f>
        <v>Published</v>
      </c>
      <c r="AB569" s="166" t="str">
        <f>IFERROR(__xludf.DUMMYFUNCTION("""COMPUTED_VALUE"""),"https://ieeexplore.ieee.org/document/10285797")</f>
        <v>https://ieeexplore.ieee.org/document/10285797</v>
      </c>
      <c r="AC569" s="165"/>
    </row>
    <row r="570" ht="15.75" customHeight="1">
      <c r="F570" s="205"/>
      <c r="V570" s="209"/>
      <c r="W570" s="209"/>
      <c r="Z570" s="165" t="str">
        <f>IFERROR(__xludf.DUMMYFUNCTION("""COMPUTED_VALUE"""),"Proposing a Microservices Architecture for AMEL Information System Designed Using TOGAF-ADM")</f>
        <v>Proposing a Microservices Architecture for AMEL Information System Designed Using TOGAF-ADM</v>
      </c>
      <c r="AA570" s="165" t="str">
        <f>IFERROR(__xludf.DUMMYFUNCTION("""COMPUTED_VALUE"""),"Published")</f>
        <v>Published</v>
      </c>
      <c r="AB570" s="166" t="str">
        <f>IFERROR(__xludf.DUMMYFUNCTION("""COMPUTED_VALUE"""),"https://ieeexplore.ieee.org/document/10285743")</f>
        <v>https://ieeexplore.ieee.org/document/10285743</v>
      </c>
      <c r="AC570" s="165"/>
    </row>
    <row r="571" ht="15.75" customHeight="1">
      <c r="F571" s="205"/>
      <c r="V571" s="209"/>
      <c r="W571" s="209"/>
      <c r="Z571" s="165" t="str">
        <f>IFERROR(__xludf.DUMMYFUNCTION("""COMPUTED_VALUE"""),"Deep Learning Approach for Heavy Rainfall Prediction Using Himawari-8 And RDCA Data")</f>
        <v>Deep Learning Approach for Heavy Rainfall Prediction Using Himawari-8 And RDCA Data</v>
      </c>
      <c r="AA571" s="165" t="str">
        <f>IFERROR(__xludf.DUMMYFUNCTION("""COMPUTED_VALUE"""),"Published")</f>
        <v>Published</v>
      </c>
      <c r="AB571" s="166" t="str">
        <f>IFERROR(__xludf.DUMMYFUNCTION("""COMPUTED_VALUE"""),"https://ieeexplore.ieee.org/document/10285744")</f>
        <v>https://ieeexplore.ieee.org/document/10285744</v>
      </c>
      <c r="AC571" s="165"/>
    </row>
    <row r="572" ht="15.75" customHeight="1">
      <c r="F572" s="205"/>
      <c r="V572" s="209"/>
      <c r="W572" s="209"/>
      <c r="Z572" s="165" t="str">
        <f>IFERROR(__xludf.DUMMYFUNCTION("""COMPUTED_VALUE"""),"Machine Learning Model for Antiproliferative Virtual Screening of Herbal Compounds Against Hepatocellular Carcinoma")</f>
        <v>Machine Learning Model for Antiproliferative Virtual Screening of Herbal Compounds Against Hepatocellular Carcinoma</v>
      </c>
      <c r="AA572" s="165" t="str">
        <f>IFERROR(__xludf.DUMMYFUNCTION("""COMPUTED_VALUE"""),"Published")</f>
        <v>Published</v>
      </c>
      <c r="AB572" s="166" t="str">
        <f>IFERROR(__xludf.DUMMYFUNCTION("""COMPUTED_VALUE"""),"https://doi.org/10.7324/JAPS.2023.123438")</f>
        <v>https://doi.org/10.7324/JAPS.2023.123438</v>
      </c>
      <c r="AC572" s="165"/>
    </row>
    <row r="573" ht="15.75" customHeight="1">
      <c r="F573" s="205"/>
      <c r="V573" s="209"/>
      <c r="W573" s="209"/>
      <c r="Z573" s="165" t="str">
        <f>IFERROR(__xludf.DUMMYFUNCTION("""COMPUTED_VALUE"""),"An Importance-Performance Analysis Concerning the Quality of Indonesia's e-Procurement System Based on ISO/EIC 25010:2011")</f>
        <v>An Importance-Performance Analysis Concerning the Quality of Indonesia's e-Procurement System Based on ISO/EIC 25010:2011</v>
      </c>
      <c r="AA573" s="165" t="str">
        <f>IFERROR(__xludf.DUMMYFUNCTION("""COMPUTED_VALUE"""),"Published")</f>
        <v>Published</v>
      </c>
      <c r="AB573" s="166" t="str">
        <f>IFERROR(__xludf.DUMMYFUNCTION("""COMPUTED_VALUE"""),"https://ieeexplore.ieee.org/document/10285795")</f>
        <v>https://ieeexplore.ieee.org/document/10285795</v>
      </c>
      <c r="AC573" s="165"/>
    </row>
    <row r="574" ht="15.75" customHeight="1">
      <c r="F574" s="205"/>
      <c r="V574" s="209"/>
      <c r="W574" s="209"/>
      <c r="Z574" s="165" t="str">
        <f>IFERROR(__xludf.DUMMYFUNCTION("""COMPUTED_VALUE"""),"Web-Based Decision Support System of Employee Admission Using Multi Attribute Utility Theory")</f>
        <v>Web-Based Decision Support System of Employee Admission Using Multi Attribute Utility Theory</v>
      </c>
      <c r="AA574" s="165" t="str">
        <f>IFERROR(__xludf.DUMMYFUNCTION("""COMPUTED_VALUE"""),"Published")</f>
        <v>Published</v>
      </c>
      <c r="AB574" s="166" t="str">
        <f>IFERROR(__xludf.DUMMYFUNCTION("""COMPUTED_VALUE"""),"https://ieeexplore.ieee.org/document/10285739")</f>
        <v>https://ieeexplore.ieee.org/document/10285739</v>
      </c>
      <c r="AC574" s="165"/>
    </row>
    <row r="575" ht="15.75" customHeight="1">
      <c r="F575" s="205"/>
      <c r="V575" s="209"/>
      <c r="W575" s="209"/>
      <c r="Z575" s="165" t="str">
        <f>IFERROR(__xludf.DUMMYFUNCTION("""COMPUTED_VALUE"""),"COVID-19 preventive behaviors and digital health communication media usage model")</f>
        <v>COVID-19 preventive behaviors and digital health communication media usage model</v>
      </c>
      <c r="AA575" s="165" t="str">
        <f>IFERROR(__xludf.DUMMYFUNCTION("""COMPUTED_VALUE"""),"Published")</f>
        <v>Published</v>
      </c>
      <c r="AB575" s="166" t="str">
        <f>IFERROR(__xludf.DUMMYFUNCTION("""COMPUTED_VALUE"""),"https://www.tandfonline.com/doi/full/10.1080/23311886.2023.2258663")</f>
        <v>https://www.tandfonline.com/doi/full/10.1080/23311886.2023.2258663</v>
      </c>
      <c r="AC575" s="165"/>
    </row>
    <row r="576" ht="15.75" customHeight="1">
      <c r="F576" s="205"/>
      <c r="V576" s="209"/>
      <c r="W576" s="209"/>
      <c r="Z576" s="165" t="str">
        <f>IFERROR(__xludf.DUMMYFUNCTION("""COMPUTED_VALUE"""),"Comparison of Machine Learning Techniques for Grade Classification of Exported Cavendish Bananas
")</f>
        <v>Comparison of Machine Learning Techniques for Grade Classification of Exported Cavendish Bananas
</v>
      </c>
      <c r="AA576" s="165" t="str">
        <f>IFERROR(__xludf.DUMMYFUNCTION("""COMPUTED_VALUE"""),"Published")</f>
        <v>Published</v>
      </c>
      <c r="AB576" s="166" t="str">
        <f>IFERROR(__xludf.DUMMYFUNCTION("""COMPUTED_VALUE"""),"https://ieeexplore.ieee.org/document/10291592/")</f>
        <v>https://ieeexplore.ieee.org/document/10291592/</v>
      </c>
      <c r="AC576" s="165"/>
    </row>
    <row r="577" ht="15.75" customHeight="1">
      <c r="F577" s="205"/>
      <c r="V577" s="209"/>
      <c r="W577" s="209"/>
      <c r="Z577" s="165" t="str">
        <f>IFERROR(__xludf.DUMMYFUNCTION("""COMPUTED_VALUE"""),"Comparison of Optimizer on Convolutional Neural Network and Color Representation on Data for Face Presentation Attack Detection")</f>
        <v>Comparison of Optimizer on Convolutional Neural Network and Color Representation on Data for Face Presentation Attack Detection</v>
      </c>
      <c r="AA577" s="165" t="str">
        <f>IFERROR(__xludf.DUMMYFUNCTION("""COMPUTED_VALUE"""),"Published")</f>
        <v>Published</v>
      </c>
      <c r="AB577" s="166" t="str">
        <f>IFERROR(__xludf.DUMMYFUNCTION("""COMPUTED_VALUE"""),"https://dl.acm.org/doi/abs/10.1145/3575882.3575906
")</f>
        <v>https://dl.acm.org/doi/abs/10.1145/3575882.3575906
</v>
      </c>
      <c r="AC577" s="165"/>
    </row>
    <row r="578" ht="15.75" customHeight="1">
      <c r="F578" s="205"/>
      <c r="V578" s="209"/>
      <c r="W578" s="209"/>
      <c r="Z578" s="165" t="str">
        <f>IFERROR(__xludf.DUMMYFUNCTION("""COMPUTED_VALUE"""),"A Comparative Study of Five Machine Learning Algorithms for Anomaly-based IDS
")</f>
        <v>A Comparative Study of Five Machine Learning Algorithms for Anomaly-based IDS
</v>
      </c>
      <c r="AA578" s="165" t="str">
        <f>IFERROR(__xludf.DUMMYFUNCTION("""COMPUTED_VALUE"""),"Published")</f>
        <v>Published</v>
      </c>
      <c r="AB578" s="166" t="str">
        <f>IFERROR(__xludf.DUMMYFUNCTION("""COMPUTED_VALUE"""),"https://ieeexplore.ieee.org/document/10180421 ")</f>
        <v>https://ieeexplore.ieee.org/document/10180421 </v>
      </c>
      <c r="AC578" s="165"/>
    </row>
    <row r="579" ht="15.75" customHeight="1">
      <c r="F579" s="205"/>
      <c r="V579" s="209"/>
      <c r="W579" s="209"/>
      <c r="Z579" s="165" t="str">
        <f>IFERROR(__xludf.DUMMYFUNCTION("""COMPUTED_VALUE"""),"The Utilization of Blockchain Technology in The Airport Industry: A Review
")</f>
        <v>The Utilization of Blockchain Technology in The Airport Industry: A Review
</v>
      </c>
      <c r="AA579" s="165" t="str">
        <f>IFERROR(__xludf.DUMMYFUNCTION("""COMPUTED_VALUE"""),"Published")</f>
        <v>Published</v>
      </c>
      <c r="AB579" s="166" t="str">
        <f>IFERROR(__xludf.DUMMYFUNCTION("""COMPUTED_VALUE"""),"https://doi.org/10.35842/icostec.v2i1.48")</f>
        <v>https://doi.org/10.35842/icostec.v2i1.48</v>
      </c>
      <c r="AC579" s="165"/>
    </row>
    <row r="580" ht="15.75" customHeight="1">
      <c r="F580" s="205"/>
      <c r="V580" s="209"/>
      <c r="W580" s="209"/>
      <c r="Z580" s="165" t="str">
        <f>IFERROR(__xludf.DUMMYFUNCTION("""COMPUTED_VALUE"""),"Image segmentation in aerial imagery: a review")</f>
        <v>Image segmentation in aerial imagery: a review</v>
      </c>
      <c r="AA580" s="165" t="str">
        <f>IFERROR(__xludf.DUMMYFUNCTION("""COMPUTED_VALUE"""),"Published")</f>
        <v>Published</v>
      </c>
      <c r="AB580" s="166" t="str">
        <f>IFERROR(__xludf.DUMMYFUNCTION("""COMPUTED_VALUE"""),"https://www.scopus.com/record/display.uri?eid=2-s2.0-85172342905&amp;origin=resultslist&amp;sort=plf-f")</f>
        <v>https://www.scopus.com/record/display.uri?eid=2-s2.0-85172342905&amp;origin=resultslist&amp;sort=plf-f</v>
      </c>
      <c r="AC580" s="165"/>
    </row>
    <row r="581" ht="15.75" customHeight="1">
      <c r="F581" s="205"/>
      <c r="V581" s="209"/>
      <c r="W581" s="209"/>
      <c r="Z581" s="165" t="str">
        <f>IFERROR(__xludf.DUMMYFUNCTION("""COMPUTED_VALUE"""),"Shannon Entropy Mixing Cumulative Sum Algorithm for DoS/DDoS Detection and Defense")</f>
        <v>Shannon Entropy Mixing Cumulative Sum Algorithm for DoS/DDoS Detection and Defense</v>
      </c>
      <c r="AA581" s="165" t="str">
        <f>IFERROR(__xludf.DUMMYFUNCTION("""COMPUTED_VALUE"""),"Published")</f>
        <v>Published</v>
      </c>
      <c r="AB581" s="166" t="str">
        <f>IFERROR(__xludf.DUMMYFUNCTION("""COMPUTED_VALUE"""),"https://www.scopus.com/record/display.uri?eid=2-s2.0-85172257376&amp;origin=resultslist&amp;sort=plf-f")</f>
        <v>https://www.scopus.com/record/display.uri?eid=2-s2.0-85172257376&amp;origin=resultslist&amp;sort=plf-f</v>
      </c>
      <c r="AC581" s="165"/>
    </row>
    <row r="582" ht="15.75" customHeight="1">
      <c r="F582" s="205"/>
      <c r="V582" s="209"/>
      <c r="W582" s="209"/>
      <c r="Z582" s="165" t="str">
        <f>IFERROR(__xludf.DUMMYFUNCTION("""COMPUTED_VALUE"""),"Indonesia National Oceanographic Data Center (InaNODC): Design, Function, Deployment and Maintenance")</f>
        <v>Indonesia National Oceanographic Data Center (InaNODC): Design, Function, Deployment and Maintenance</v>
      </c>
      <c r="AA582" s="165" t="str">
        <f>IFERROR(__xludf.DUMMYFUNCTION("""COMPUTED_VALUE"""),"Published")</f>
        <v>Published</v>
      </c>
      <c r="AB582" s="166" t="str">
        <f>IFERROR(__xludf.DUMMYFUNCTION("""COMPUTED_VALUE"""),"https://ieeexplore.ieee.org/document/10176218")</f>
        <v>https://ieeexplore.ieee.org/document/10176218</v>
      </c>
      <c r="AC582" s="165"/>
    </row>
    <row r="583" ht="15.75" customHeight="1">
      <c r="F583" s="205"/>
      <c r="V583" s="209"/>
      <c r="W583" s="209"/>
      <c r="Z583" s="165" t="str">
        <f>IFERROR(__xludf.DUMMYFUNCTION("""COMPUTED_VALUE"""),"Oriented object detection in satellite images using convolutional neural network based on ResNeXt")</f>
        <v>Oriented object detection in satellite images using convolutional neural network based on ResNeXt</v>
      </c>
      <c r="AA583" s="165" t="str">
        <f>IFERROR(__xludf.DUMMYFUNCTION("""COMPUTED_VALUE"""),"Published")</f>
        <v>Published</v>
      </c>
      <c r="AB583" s="166" t="str">
        <f>IFERROR(__xludf.DUMMYFUNCTION("""COMPUTED_VALUE"""),"https://doi.org/10.4218/etrij.2022-0446")</f>
        <v>https://doi.org/10.4218/etrij.2022-0446</v>
      </c>
      <c r="AC583" s="165"/>
    </row>
    <row r="584" ht="15.75" customHeight="1">
      <c r="F584" s="205"/>
      <c r="V584" s="209"/>
      <c r="W584" s="209"/>
      <c r="Z584" s="165" t="str">
        <f>IFERROR(__xludf.DUMMYFUNCTION("""COMPUTED_VALUE"""),"5G Network Base Station Timeline Scheduling")</f>
        <v>5G Network Base Station Timeline Scheduling</v>
      </c>
      <c r="AA584" s="165" t="str">
        <f>IFERROR(__xludf.DUMMYFUNCTION("""COMPUTED_VALUE"""),"Published")</f>
        <v>Published</v>
      </c>
      <c r="AB584" s="166" t="str">
        <f>IFERROR(__xludf.DUMMYFUNCTION("""COMPUTED_VALUE"""),"https://doi.org/10.1007/978-3-031-46784-4_23")</f>
        <v>https://doi.org/10.1007/978-3-031-46784-4_23</v>
      </c>
      <c r="AC584" s="165"/>
    </row>
    <row r="585" ht="15.75" customHeight="1">
      <c r="F585" s="205"/>
      <c r="V585" s="209"/>
      <c r="W585" s="209"/>
      <c r="Z585" s="165" t="str">
        <f>IFERROR(__xludf.DUMMYFUNCTION("""COMPUTED_VALUE"""),"A Q-learning-based downlink scheduling in 5G systems")</f>
        <v>A Q-learning-based downlink scheduling in 5G systems</v>
      </c>
      <c r="AA585" s="165" t="str">
        <f>IFERROR(__xludf.DUMMYFUNCTION("""COMPUTED_VALUE"""),"Published")</f>
        <v>Published</v>
      </c>
      <c r="AB585" s="166" t="str">
        <f>IFERROR(__xludf.DUMMYFUNCTION("""COMPUTED_VALUE"""),"https://doi.org/10.1007/s11276-023-03557-5")</f>
        <v>https://doi.org/10.1007/s11276-023-03557-5</v>
      </c>
      <c r="AC585" s="165"/>
    </row>
    <row r="586" ht="15.75" customHeight="1">
      <c r="F586" s="205"/>
      <c r="V586" s="209"/>
      <c r="W586" s="209"/>
      <c r="Z586" s="165" t="str">
        <f>IFERROR(__xludf.DUMMYFUNCTION("""COMPUTED_VALUE"""),"Initial development of real-time video link for UAV")</f>
        <v>Initial development of real-time video link for UAV</v>
      </c>
      <c r="AA586" s="165" t="str">
        <f>IFERROR(__xludf.DUMMYFUNCTION("""COMPUTED_VALUE"""),"Published")</f>
        <v>Published</v>
      </c>
      <c r="AB586" s="166" t="str">
        <f>IFERROR(__xludf.DUMMYFUNCTION("""COMPUTED_VALUE"""),"https://doi.org/10.1063/5.0181525
")</f>
        <v>https://doi.org/10.1063/5.0181525
</v>
      </c>
      <c r="AC586" s="165"/>
    </row>
    <row r="587" ht="15.75" customHeight="1">
      <c r="F587" s="205"/>
      <c r="V587" s="209"/>
      <c r="W587" s="209"/>
      <c r="Z587" s="165" t="str">
        <f>IFERROR(__xludf.DUMMYFUNCTION("""COMPUTED_VALUE"""),"Effect of tail and ruddervator on aerodynamics of UAV through wind tunnel study")</f>
        <v>Effect of tail and ruddervator on aerodynamics of UAV through wind tunnel study</v>
      </c>
      <c r="AA587" s="165" t="str">
        <f>IFERROR(__xludf.DUMMYFUNCTION("""COMPUTED_VALUE"""),"Published")</f>
        <v>Published</v>
      </c>
      <c r="AB587" s="166" t="str">
        <f>IFERROR(__xludf.DUMMYFUNCTION("""COMPUTED_VALUE"""),"https://doi.org/10.1063/5.0181637
")</f>
        <v>https://doi.org/10.1063/5.0181637
</v>
      </c>
      <c r="AC587" s="165"/>
    </row>
    <row r="588" ht="15.75" customHeight="1">
      <c r="F588" s="205"/>
      <c r="V588" s="209"/>
      <c r="W588" s="209"/>
      <c r="Z588" s="165" t="str">
        <f>IFERROR(__xludf.DUMMYFUNCTION("""COMPUTED_VALUE"""),"Segmentation of drone-captured images for illegal cannabis plantation detection")</f>
        <v>Segmentation of drone-captured images for illegal cannabis plantation detection</v>
      </c>
      <c r="AA588" s="165" t="str">
        <f>IFERROR(__xludf.DUMMYFUNCTION("""COMPUTED_VALUE"""),"Published")</f>
        <v>Published</v>
      </c>
      <c r="AB588" s="166" t="str">
        <f>IFERROR(__xludf.DUMMYFUNCTION("""COMPUTED_VALUE"""),"https://doi.org/10.1063/5.0181482 ")</f>
        <v>https://doi.org/10.1063/5.0181482 </v>
      </c>
      <c r="AC588" s="165"/>
    </row>
    <row r="589" ht="15.75" customHeight="1">
      <c r="F589" s="205"/>
      <c r="V589" s="209"/>
      <c r="W589" s="209"/>
      <c r="Z589" s="165" t="str">
        <f>IFERROR(__xludf.DUMMYFUNCTION("""COMPUTED_VALUE"""),"Detection Method of Viral Pneumonia Imaging Features Based on CT Scan Images in Covid-19 Case Study")</f>
        <v>Detection Method of Viral Pneumonia Imaging Features Based on CT Scan Images in Covid-19 Case Study</v>
      </c>
      <c r="AA589" s="165" t="str">
        <f>IFERROR(__xludf.DUMMYFUNCTION("""COMPUTED_VALUE"""),"Published")</f>
        <v>Published</v>
      </c>
      <c r="AB589" s="166" t="str">
        <f>IFERROR(__xludf.DUMMYFUNCTION("""COMPUTED_VALUE"""),"https://methods-x.com/article/S2215-0161(23)00503-4/fulltext")</f>
        <v>https://methods-x.com/article/S2215-0161(23)00503-4/fulltext</v>
      </c>
      <c r="AC589" s="165"/>
    </row>
    <row r="590" ht="15.75" customHeight="1">
      <c r="F590" s="205"/>
      <c r="V590" s="209"/>
      <c r="W590" s="209"/>
      <c r="Z590" s="165" t="str">
        <f>IFERROR(__xludf.DUMMYFUNCTION("""COMPUTED_VALUE"""),"U-Net Utilization on Segmentation of Aerial Captured Image")</f>
        <v>U-Net Utilization on Segmentation of Aerial Captured Image</v>
      </c>
      <c r="AA590" s="165" t="str">
        <f>IFERROR(__xludf.DUMMYFUNCTION("""COMPUTED_VALUE"""),"Published")</f>
        <v>Published</v>
      </c>
      <c r="AB590" s="166" t="str">
        <f>IFERROR(__xludf.DUMMYFUNCTION("""COMPUTED_VALUE"""),"https://ieeexplore.ieee.org/document/10366541")</f>
        <v>https://ieeexplore.ieee.org/document/10366541</v>
      </c>
      <c r="AC590" s="165"/>
    </row>
    <row r="591" ht="15.75" customHeight="1">
      <c r="F591" s="205"/>
      <c r="V591" s="209"/>
      <c r="W591" s="209"/>
      <c r="Z591" s="165" t="str">
        <f>IFERROR(__xludf.DUMMYFUNCTION("""COMPUTED_VALUE"""),"Detection of Driver Behaviors Using Convolutional Neural Network with Modified Inception Module")</f>
        <v>Detection of Driver Behaviors Using Convolutional Neural Network with Modified Inception Module</v>
      </c>
      <c r="AA591" s="165" t="str">
        <f>IFERROR(__xludf.DUMMYFUNCTION("""COMPUTED_VALUE"""),"Published")</f>
        <v>Published</v>
      </c>
      <c r="AB591" s="166" t="str">
        <f>IFERROR(__xludf.DUMMYFUNCTION("""COMPUTED_VALUE"""),"https://ieeexplore.ieee.org/document/10366592")</f>
        <v>https://ieeexplore.ieee.org/document/10366592</v>
      </c>
      <c r="AC591" s="165"/>
    </row>
    <row r="592" ht="15.75" customHeight="1">
      <c r="F592" s="205"/>
      <c r="V592" s="209"/>
      <c r="W592" s="209"/>
      <c r="Z592" s="165" t="str">
        <f>IFERROR(__xludf.DUMMYFUNCTION("""COMPUTED_VALUE"""),"Small CNN for Plant Disease Classification Using Quantization-Aware Training: A Case Study on MobileNetV3")</f>
        <v>Small CNN for Plant Disease Classification Using Quantization-Aware Training: A Case Study on MobileNetV3</v>
      </c>
      <c r="AA592" s="165" t="str">
        <f>IFERROR(__xludf.DUMMYFUNCTION("""COMPUTED_VALUE"""),"Published")</f>
        <v>Published</v>
      </c>
      <c r="AB592" s="166" t="str">
        <f>IFERROR(__xludf.DUMMYFUNCTION("""COMPUTED_VALUE"""),"https://ieeexplore.ieee.org/document/10366600")</f>
        <v>https://ieeexplore.ieee.org/document/10366600</v>
      </c>
      <c r="AC592" s="165"/>
    </row>
    <row r="593" ht="15.75" customHeight="1">
      <c r="F593" s="205"/>
      <c r="V593" s="209"/>
      <c r="W593" s="209"/>
      <c r="Z593" s="165" t="str">
        <f>IFERROR(__xludf.DUMMYFUNCTION("""COMPUTED_VALUE"""),"Transformer with Time Vector Representation for Remaining Useful Life Prediction of Lithium-Ion Batteries
")</f>
        <v>Transformer with Time Vector Representation for Remaining Useful Life Prediction of Lithium-Ion Batteries
</v>
      </c>
      <c r="AA593" s="165" t="str">
        <f>IFERROR(__xludf.DUMMYFUNCTION("""COMPUTED_VALUE"""),"Published")</f>
        <v>Published</v>
      </c>
      <c r="AB593" s="166" t="str">
        <f>IFERROR(__xludf.DUMMYFUNCTION("""COMPUTED_VALUE"""),"https://ieeexplore.ieee.org/document/10366687
")</f>
        <v>https://ieeexplore.ieee.org/document/10366687
</v>
      </c>
      <c r="AC593" s="165"/>
    </row>
    <row r="594" ht="15.75" customHeight="1">
      <c r="F594" s="205"/>
      <c r="V594" s="209"/>
      <c r="W594" s="209"/>
      <c r="Z594" s="165" t="str">
        <f>IFERROR(__xludf.DUMMYFUNCTION("""COMPUTED_VALUE"""),"Blockchain-Based Runner Tracking")</f>
        <v>Blockchain-Based Runner Tracking</v>
      </c>
      <c r="AA594" s="165" t="str">
        <f>IFERROR(__xludf.DUMMYFUNCTION("""COMPUTED_VALUE"""),"Accepted")</f>
        <v>Accepted</v>
      </c>
      <c r="AB594" s="165"/>
      <c r="AC594" s="165"/>
    </row>
    <row r="595" ht="15.75" customHeight="1">
      <c r="F595" s="205"/>
      <c r="V595" s="209"/>
      <c r="W595" s="209"/>
      <c r="Z595" s="165" t="str">
        <f>IFERROR(__xludf.DUMMYFUNCTION("""COMPUTED_VALUE"""),"Digital Education: Security, Readiness, and Technology Enchancement")</f>
        <v>Digital Education: Security, Readiness, and Technology Enchancement</v>
      </c>
      <c r="AA595" s="165" t="str">
        <f>IFERROR(__xludf.DUMMYFUNCTION("""COMPUTED_VALUE"""),"Accepted")</f>
        <v>Accepted</v>
      </c>
      <c r="AB595" s="165"/>
      <c r="AC595" s="165"/>
    </row>
    <row r="596" ht="15.75" customHeight="1">
      <c r="F596" s="205"/>
      <c r="V596" s="209"/>
      <c r="W596" s="209"/>
      <c r="Z596" s="165" t="str">
        <f>IFERROR(__xludf.DUMMYFUNCTION("""COMPUTED_VALUE"""),"Big Data Security: Emerging Technology and Digital Learning Implementation")</f>
        <v>Big Data Security: Emerging Technology and Digital Learning Implementation</v>
      </c>
      <c r="AA596" s="165" t="str">
        <f>IFERROR(__xludf.DUMMYFUNCTION("""COMPUTED_VALUE"""),"Accepted")</f>
        <v>Accepted</v>
      </c>
      <c r="AB596" s="166" t="str">
        <f>IFERROR(__xludf.DUMMYFUNCTION("""COMPUTED_VALUE"""),"https://www.appleacademicpress.com/digital-education-security-readiness-and-technology-enhancement/9781774915202
")</f>
        <v>https://www.appleacademicpress.com/digital-education-security-readiness-and-technology-enhancement/9781774915202
</v>
      </c>
      <c r="AC596" s="165"/>
    </row>
    <row r="597" ht="15.75" customHeight="1">
      <c r="F597" s="205"/>
      <c r="V597" s="209"/>
      <c r="W597" s="209"/>
      <c r="Z597" s="165" t="str">
        <f>IFERROR(__xludf.DUMMYFUNCTION("""COMPUTED_VALUE"""),"Multistage CNN for Fungi Image Classification")</f>
        <v>Multistage CNN for Fungi Image Classification</v>
      </c>
      <c r="AA597" s="165" t="str">
        <f>IFERROR(__xludf.DUMMYFUNCTION("""COMPUTED_VALUE"""),"Accepted")</f>
        <v>Accepted</v>
      </c>
      <c r="AB597" s="165"/>
      <c r="AC597" s="165"/>
    </row>
    <row r="598" ht="15.75" customHeight="1">
      <c r="F598" s="205"/>
      <c r="V598" s="209"/>
      <c r="W598" s="209"/>
      <c r="Z598" s="165" t="str">
        <f>IFERROR(__xludf.DUMMYFUNCTION("""COMPUTED_VALUE"""),"Aerial Image-Based Semantic Segmentation for Forest Fire Identification")</f>
        <v>Aerial Image-Based Semantic Segmentation for Forest Fire Identification</v>
      </c>
      <c r="AA598" s="165" t="str">
        <f>IFERROR(__xludf.DUMMYFUNCTION("""COMPUTED_VALUE"""),"Accepted")</f>
        <v>Accepted</v>
      </c>
      <c r="AB598" s="166" t="str">
        <f>IFERROR(__xludf.DUMMYFUNCTION("""COMPUTED_VALUE"""),"https://drive.google.com/open?id=1CU8zgBczHBZLcQ558bgFIwked48fkeHW
")</f>
        <v>https://drive.google.com/open?id=1CU8zgBczHBZLcQ558bgFIwked48fkeHW
</v>
      </c>
      <c r="AC598" s="165"/>
    </row>
    <row r="599" ht="15.75" customHeight="1">
      <c r="F599" s="205"/>
      <c r="V599" s="209"/>
      <c r="W599" s="209"/>
      <c r="Z599" s="165" t="str">
        <f>IFERROR(__xludf.DUMMYFUNCTION("""COMPUTED_VALUE"""),"Machine Learning Optimization Using Feature Selection For Sensing and Identifying Bootnet and Brute Force Attacks in Network System")</f>
        <v>Machine Learning Optimization Using Feature Selection For Sensing and Identifying Bootnet and Brute Force Attacks in Network System</v>
      </c>
      <c r="AA599" s="165" t="str">
        <f>IFERROR(__xludf.DUMMYFUNCTION("""COMPUTED_VALUE"""),"Accepted")</f>
        <v>Accepted</v>
      </c>
      <c r="AB599" s="166" t="str">
        <f>IFERROR(__xludf.DUMMYFUNCTION("""COMPUTED_VALUE"""),"https://icesit.id/")</f>
        <v>https://icesit.id/</v>
      </c>
      <c r="AC599" s="165"/>
    </row>
    <row r="600" ht="15.75" customHeight="1">
      <c r="F600" s="205"/>
      <c r="V600" s="209"/>
      <c r="W600" s="209"/>
      <c r="Z600" s="165" t="str">
        <f>IFERROR(__xludf.DUMMYFUNCTION("""COMPUTED_VALUE"""),"A Novel Framework for Analyzing Internet of Things Datasets for Machine Learning and Deep Learning-based Intrusion Detection Systems")</f>
        <v>A Novel Framework for Analyzing Internet of Things Datasets for Machine Learning and Deep Learning-based Intrusion Detection Systems</v>
      </c>
      <c r="AA600" s="165" t="str">
        <f>IFERROR(__xludf.DUMMYFUNCTION("""COMPUTED_VALUE"""),"Accepted")</f>
        <v>Accepted</v>
      </c>
      <c r="AB600" s="165"/>
      <c r="AC600" s="165"/>
    </row>
    <row r="601" ht="15.75" customHeight="1">
      <c r="F601" s="205"/>
      <c r="V601" s="209"/>
      <c r="W601" s="209"/>
      <c r="Z601" s="165" t="str">
        <f>IFERROR(__xludf.DUMMYFUNCTION("""COMPUTED_VALUE"""),"Research Trends in Blockchain Technology for Regional Government Financial Management in Indonesia: A Bibliometric Analysis")</f>
        <v>Research Trends in Blockchain Technology for Regional Government Financial Management in Indonesia: A Bibliometric Analysis</v>
      </c>
      <c r="AA601" s="165" t="str">
        <f>IFERROR(__xludf.DUMMYFUNCTION("""COMPUTED_VALUE"""),"Accepted")</f>
        <v>Accepted</v>
      </c>
      <c r="AB601" s="165" t="str">
        <f>IFERROR(__xludf.DUMMYFUNCTION("""COMPUTED_VALUE"""),"ISSN: 1816-6075")</f>
        <v>ISSN: 1816-6075</v>
      </c>
      <c r="AC601" s="165"/>
    </row>
    <row r="602" ht="15.75" customHeight="1">
      <c r="F602" s="205"/>
      <c r="V602" s="209"/>
      <c r="W602" s="209"/>
      <c r="Z602" s="165" t="str">
        <f>IFERROR(__xludf.DUMMYFUNCTION("""COMPUTED_VALUE"""),"Pores Segmentation Based on Active Contour Model for Automatic Wood Species Identification")</f>
        <v>Pores Segmentation Based on Active Contour Model for Automatic Wood Species Identification</v>
      </c>
      <c r="AA602" s="165" t="str">
        <f>IFERROR(__xludf.DUMMYFUNCTION("""COMPUTED_VALUE"""),"Accepted")</f>
        <v>Accepted</v>
      </c>
      <c r="AB602" s="166" t="str">
        <f>IFERROR(__xludf.DUMMYFUNCTION("""COMPUTED_VALUE"""),"https://tssa-conference.org/2023/")</f>
        <v>https://tssa-conference.org/2023/</v>
      </c>
      <c r="AC602" s="165"/>
    </row>
    <row r="603" ht="15.75" customHeight="1">
      <c r="F603" s="205"/>
      <c r="V603" s="209"/>
      <c r="W603" s="209"/>
      <c r="Z603" s="165" t="str">
        <f>IFERROR(__xludf.DUMMYFUNCTION("""COMPUTED_VALUE"""),"Distance Detection on an Autonomous Vehicle Using the Triangle Similarity Approach")</f>
        <v>Distance Detection on an Autonomous Vehicle Using the Triangle Similarity Approach</v>
      </c>
      <c r="AA603" s="165" t="str">
        <f>IFERROR(__xludf.DUMMYFUNCTION("""COMPUTED_VALUE"""),"Accepted")</f>
        <v>Accepted</v>
      </c>
      <c r="AB603" s="166" t="str">
        <f>IFERROR(__xludf.DUMMYFUNCTION("""COMPUTED_VALUE"""),"https://tssa-conference.org/2023/")</f>
        <v>https://tssa-conference.org/2023/</v>
      </c>
      <c r="AC603" s="165"/>
    </row>
    <row r="604" ht="15.75" customHeight="1">
      <c r="F604" s="205"/>
      <c r="V604" s="209"/>
      <c r="W604" s="209"/>
      <c r="Z604" s="165" t="str">
        <f>IFERROR(__xludf.DUMMYFUNCTION("""COMPUTED_VALUE"""),"Optimizing Heart Disease Classification: Exploring the Impact of Feature Selection and the Performance of Machine Learning Algorithms")</f>
        <v>Optimizing Heart Disease Classification: Exploring the Impact of Feature Selection and the Performance of Machine Learning Algorithms</v>
      </c>
      <c r="AA604" s="165" t="str">
        <f>IFERROR(__xludf.DUMMYFUNCTION("""COMPUTED_VALUE"""),"Accepted")</f>
        <v>Accepted</v>
      </c>
      <c r="AB604" s="165"/>
      <c r="AC604" s="165"/>
    </row>
    <row r="605" ht="15.75" customHeight="1">
      <c r="F605" s="205"/>
      <c r="V605" s="209"/>
      <c r="W605" s="209"/>
      <c r="Z605" s="165" t="str">
        <f>IFERROR(__xludf.DUMMYFUNCTION("""COMPUTED_VALUE"""),"An Efficient Deep Convolutional Neural Network ResNet-101 to Identify Copy-Move Image Forgery")</f>
        <v>An Efficient Deep Convolutional Neural Network ResNet-101 to Identify Copy-Move Image Forgery</v>
      </c>
      <c r="AA605" s="165" t="str">
        <f>IFERROR(__xludf.DUMMYFUNCTION("""COMPUTED_VALUE"""),"Accepted")</f>
        <v>Accepted</v>
      </c>
      <c r="AB605" s="165"/>
      <c r="AC605" s="165"/>
    </row>
    <row r="606" ht="15.75" customHeight="1">
      <c r="F606" s="205"/>
      <c r="V606" s="209"/>
      <c r="W606" s="209"/>
      <c r="Z606" s="165" t="str">
        <f>IFERROR(__xludf.DUMMYFUNCTION("""COMPUTED_VALUE"""),"A Novel Deep Learning Approach Featuring Graph-Based Algorithm for Simultaneous Cell Segmentation and Tracking")</f>
        <v>A Novel Deep Learning Approach Featuring Graph-Based Algorithm for Simultaneous Cell Segmentation and Tracking</v>
      </c>
      <c r="AA606" s="165" t="str">
        <f>IFERROR(__xludf.DUMMYFUNCTION("""COMPUTED_VALUE"""),"Accepted")</f>
        <v>Accepted</v>
      </c>
      <c r="AB606" s="166" t="str">
        <f>IFERROR(__xludf.DUMMYFUNCTION("""COMPUTED_VALUE"""),"https://bidma.cpsc.ucalgary.ca/IEEE-BIBM-2023/")</f>
        <v>https://bidma.cpsc.ucalgary.ca/IEEE-BIBM-2023/</v>
      </c>
      <c r="AC606" s="165"/>
    </row>
    <row r="607" ht="15.75" customHeight="1">
      <c r="F607" s="205"/>
      <c r="V607" s="209"/>
      <c r="W607" s="209"/>
      <c r="Z607" s="165" t="str">
        <f>IFERROR(__xludf.DUMMYFUNCTION("""COMPUTED_VALUE"""),"Attention-Guided Residual U-Net with SE Connection and ASPP for Watershed-based Cell Segmentation in Microscopy Images")</f>
        <v>Attention-Guided Residual U-Net with SE Connection and ASPP for Watershed-based Cell Segmentation in Microscopy Images</v>
      </c>
      <c r="AA607" s="165" t="str">
        <f>IFERROR(__xludf.DUMMYFUNCTION("""COMPUTED_VALUE"""),"Accepted")</f>
        <v>Accepted</v>
      </c>
      <c r="AB607" s="166" t="str">
        <f>IFERROR(__xludf.DUMMYFUNCTION("""COMPUTED_VALUE"""),"https://mangul-lab-usc.github.io/ISBRA23/")</f>
        <v>https://mangul-lab-usc.github.io/ISBRA23/</v>
      </c>
      <c r="AC607" s="165"/>
    </row>
    <row r="608" ht="15.75" customHeight="1">
      <c r="F608" s="205"/>
      <c r="V608" s="209"/>
      <c r="W608" s="209"/>
      <c r="Z608" s="165" t="str">
        <f>IFERROR(__xludf.DUMMYFUNCTION("""COMPUTED_VALUE"""),"On-Premise Method for Digital Signing in Indonesian Government CA iOTENTIK")</f>
        <v>On-Premise Method for Digital Signing in Indonesian Government CA iOTENTIK</v>
      </c>
      <c r="AA608" s="165" t="str">
        <f>IFERROR(__xludf.DUMMYFUNCTION("""COMPUTED_VALUE"""),"Accepted")</f>
        <v>Accepted</v>
      </c>
      <c r="AB608" s="166" t="str">
        <f>IFERROR(__xludf.DUMMYFUNCTION("""COMPUTED_VALUE"""),"https://conmedia.umn.ac.id/")</f>
        <v>https://conmedia.umn.ac.id/</v>
      </c>
      <c r="AC608" s="165"/>
    </row>
    <row r="609" ht="15.75" customHeight="1">
      <c r="F609" s="205"/>
      <c r="V609" s="209"/>
      <c r="W609" s="209"/>
      <c r="Z609" s="165" t="str">
        <f>IFERROR(__xludf.DUMMYFUNCTION("""COMPUTED_VALUE"""),"Performance One Stage Layer Object Detection Model to Count People Using Various Backbones")</f>
        <v>Performance One Stage Layer Object Detection Model to Count People Using Various Backbones</v>
      </c>
      <c r="AA609" s="165" t="str">
        <f>IFERROR(__xludf.DUMMYFUNCTION("""COMPUTED_VALUE"""),"Accepted")</f>
        <v>Accepted</v>
      </c>
      <c r="AB609" s="166" t="str">
        <f>IFERROR(__xludf.DUMMYFUNCTION("""COMPUTED_VALUE"""),"https://iwaiip.umy.ac.id/2023/")</f>
        <v>https://iwaiip.umy.ac.id/2023/</v>
      </c>
      <c r="AC609" s="165"/>
    </row>
    <row r="610" ht="15.75" customHeight="1">
      <c r="F610" s="205"/>
      <c r="V610" s="209"/>
      <c r="W610" s="209"/>
      <c r="Z610" s="165" t="str">
        <f>IFERROR(__xludf.DUMMYFUNCTION("""COMPUTED_VALUE"""),"7th International Conference on New Media Studies (CONMEDIA 2023)")</f>
        <v>7th International Conference on New Media Studies (CONMEDIA 2023)</v>
      </c>
      <c r="AA610" s="165" t="str">
        <f>IFERROR(__xludf.DUMMYFUNCTION("""COMPUTED_VALUE"""),"Accepted")</f>
        <v>Accepted</v>
      </c>
      <c r="AB610" s="166" t="str">
        <f>IFERROR(__xludf.DUMMYFUNCTION("""COMPUTED_VALUE"""),"https://conmedia.umn.ac.id/")</f>
        <v>https://conmedia.umn.ac.id/</v>
      </c>
      <c r="AC610" s="165"/>
    </row>
    <row r="611" ht="15.75" customHeight="1">
      <c r="F611" s="205"/>
      <c r="V611" s="209"/>
      <c r="W611" s="209"/>
      <c r="Z611" s="165" t="str">
        <f>IFERROR(__xludf.DUMMYFUNCTION("""COMPUTED_VALUE"""),"Utilizing a Knowledge-Based Training Algorithm and Time-Domain Extraction for
Pattern Recognition in Cylindrical Features through Vibration and Sound Signals")</f>
        <v>Utilizing a Knowledge-Based Training Algorithm and Time-Domain Extraction for
Pattern Recognition in Cylindrical Features through Vibration and Sound Signals</v>
      </c>
      <c r="AA611" s="165" t="str">
        <f>IFERROR(__xludf.DUMMYFUNCTION("""COMPUTED_VALUE"""),"Accepted")</f>
        <v>Accepted</v>
      </c>
      <c r="AB611" s="165"/>
      <c r="AC611" s="165"/>
    </row>
    <row r="612" ht="15.75" customHeight="1">
      <c r="F612" s="205"/>
      <c r="V612" s="209"/>
      <c r="W612" s="209"/>
      <c r="Z612" s="165" t="str">
        <f>IFERROR(__xludf.DUMMYFUNCTION("""COMPUTED_VALUE"""),"Bioinformatics Fish Morphology Detection System Deep Learning Method Using Microcontroller-Based Convolutional Neural Network Algorithm")</f>
        <v>Bioinformatics Fish Morphology Detection System Deep Learning Method Using Microcontroller-Based Convolutional Neural Network Algorithm</v>
      </c>
      <c r="AA612" s="165" t="str">
        <f>IFERROR(__xludf.DUMMYFUNCTION("""COMPUTED_VALUE"""),"Accepted")</f>
        <v>Accepted</v>
      </c>
      <c r="AB612" s="166" t="str">
        <f>IFERROR(__xludf.DUMMYFUNCTION("""COMPUTED_VALUE"""),"https://icuw2023.asasijournal.com/")</f>
        <v>https://icuw2023.asasijournal.com/</v>
      </c>
      <c r="AC612" s="165"/>
    </row>
    <row r="613" ht="15.75" customHeight="1">
      <c r="F613" s="205"/>
      <c r="V613" s="209"/>
      <c r="W613" s="209"/>
      <c r="Z613" s="165" t="str">
        <f>IFERROR(__xludf.DUMMYFUNCTION("""COMPUTED_VALUE"""),"Transformer-based Indonesian Language Model for Emotion Classification and Sentiment Analysis")</f>
        <v>Transformer-based Indonesian Language Model for Emotion Classification and Sentiment Analysis</v>
      </c>
      <c r="AA613" s="165" t="str">
        <f>IFERROR(__xludf.DUMMYFUNCTION("""COMPUTED_VALUE"""),"Accepted")</f>
        <v>Accepted</v>
      </c>
      <c r="AB613" s="165"/>
      <c r="AC613" s="165"/>
    </row>
    <row r="614" ht="15.75" customHeight="1">
      <c r="F614" s="205"/>
      <c r="V614" s="209"/>
      <c r="W614" s="209"/>
      <c r="Z614" s="165" t="str">
        <f>IFERROR(__xludf.DUMMYFUNCTION("""COMPUTED_VALUE"""),"Multistage Convolutional Neural Network (CNN) for Fungi Image Classification
")</f>
        <v>Multistage Convolutional Neural Network (CNN) for Fungi Image Classification
</v>
      </c>
      <c r="AA614" s="165" t="str">
        <f>IFERROR(__xludf.DUMMYFUNCTION("""COMPUTED_VALUE"""),"Accepted")</f>
        <v>Accepted</v>
      </c>
      <c r="AB614" s="166" t="str">
        <f>IFERROR(__xludf.DUMMYFUNCTION("""COMPUTED_VALUE"""),"https://drive.google.com/open?id=14h2bC9p-b1IRjBF28C1ec8Cj1Jh7maog
")</f>
        <v>https://drive.google.com/open?id=14h2bC9p-b1IRjBF28C1ec8Cj1Jh7maog
</v>
      </c>
      <c r="AC614" s="165"/>
    </row>
    <row r="615" ht="15.75" customHeight="1">
      <c r="F615" s="205"/>
      <c r="V615" s="209"/>
      <c r="W615" s="209"/>
      <c r="Z615" s="165" t="str">
        <f>IFERROR(__xludf.DUMMYFUNCTION("""COMPUTED_VALUE"""),"Potential Use of Non-fungible Token for The Preservation of Ancient Manuscripts")</f>
        <v>Potential Use of Non-fungible Token for The Preservation of Ancient Manuscripts</v>
      </c>
      <c r="AA615" s="165" t="str">
        <f>IFERROR(__xludf.DUMMYFUNCTION("""COMPUTED_VALUE"""),"Accepted")</f>
        <v>Accepted</v>
      </c>
      <c r="AB615" s="166" t="str">
        <f>IFERROR(__xludf.DUMMYFUNCTION("""COMPUTED_VALUE"""),"https://drive.google.com/open?id=1cObcGKoMKUU1shct5qrmraY-zi5TQ4xS
")</f>
        <v>https://drive.google.com/open?id=1cObcGKoMKUU1shct5qrmraY-zi5TQ4xS
</v>
      </c>
      <c r="AC615" s="165"/>
    </row>
    <row r="616" ht="15.75" customHeight="1">
      <c r="F616" s="205"/>
      <c r="V616" s="209"/>
      <c r="W616" s="209"/>
      <c r="Z616" s="165" t="str">
        <f>IFERROR(__xludf.DUMMYFUNCTION("""COMPUTED_VALUE"""),"Analysis of Power Consumption for Electrical Motor on Automatic Micro Electric Vehicle (MEVi)
")</f>
        <v>Analysis of Power Consumption for Electrical Motor on Automatic Micro Electric Vehicle (MEVi)
</v>
      </c>
      <c r="AA616" s="165" t="str">
        <f>IFERROR(__xludf.DUMMYFUNCTION("""COMPUTED_VALUE"""),"Accepted")</f>
        <v>Accepted</v>
      </c>
      <c r="AB616" s="166" t="str">
        <f>IFERROR(__xludf.DUMMYFUNCTION("""COMPUTED_VALUE"""),"https://drive.google.com/open?id=1E0qoHKSa0jP5eJ0Om6fbj9yPxNSdV65v
")</f>
        <v>https://drive.google.com/open?id=1E0qoHKSa0jP5eJ0Om6fbj9yPxNSdV65v
</v>
      </c>
      <c r="AC616" s="165"/>
    </row>
    <row r="617" ht="15.75" customHeight="1">
      <c r="F617" s="205"/>
      <c r="V617" s="209"/>
      <c r="W617" s="209"/>
      <c r="Z617" s="165" t="str">
        <f>IFERROR(__xludf.DUMMYFUNCTION("""COMPUTED_VALUE"""),"Design Optimization for Subsidy Distribution of Electric Motorcycles with Blockchain: A Case Study in Indonesia
")</f>
        <v>Design Optimization for Subsidy Distribution of Electric Motorcycles with Blockchain: A Case Study in Indonesia
</v>
      </c>
      <c r="AA617" s="165" t="str">
        <f>IFERROR(__xludf.DUMMYFUNCTION("""COMPUTED_VALUE"""),"Accepted")</f>
        <v>Accepted</v>
      </c>
      <c r="AB617" s="166" t="str">
        <f>IFERROR(__xludf.DUMMYFUNCTION("""COMPUTED_VALUE"""),"https://icamimia.id/ ")</f>
        <v>https://icamimia.id/ </v>
      </c>
      <c r="AC617" s="165"/>
    </row>
    <row r="618" ht="15.75" customHeight="1">
      <c r="F618" s="205"/>
      <c r="V618" s="209"/>
      <c r="W618" s="209"/>
      <c r="Z618" s="165" t="str">
        <f>IFERROR(__xludf.DUMMYFUNCTION("""COMPUTED_VALUE"""),"Ontology Learning from Object-Relational Mapping
Metadata and Relational Database")</f>
        <v>Ontology Learning from Object-Relational Mapping
Metadata and Relational Database</v>
      </c>
      <c r="AA618" s="165" t="str">
        <f>IFERROR(__xludf.DUMMYFUNCTION("""COMPUTED_VALUE"""),"Accepted")</f>
        <v>Accepted</v>
      </c>
      <c r="AB618" s="166" t="str">
        <f>IFERROR(__xludf.DUMMYFUNCTION("""COMPUTED_VALUE"""),"https://www.scopus.com/sourceid/21100799500")</f>
        <v>https://www.scopus.com/sourceid/21100799500</v>
      </c>
      <c r="AC618" s="165"/>
    </row>
    <row r="619" ht="15.75" customHeight="1">
      <c r="F619" s="205"/>
      <c r="V619" s="209"/>
      <c r="W619" s="209"/>
      <c r="Z619" s="165" t="str">
        <f>IFERROR(__xludf.DUMMYFUNCTION("""COMPUTED_VALUE"""),"A Rapid Colorimetric Method to Investigate SARS-CoV-2 by Using Gold Nanoparticles Capped with O-Hydroxybenzoic Acid")</f>
        <v>A Rapid Colorimetric Method to Investigate SARS-CoV-2 by Using Gold Nanoparticles Capped with O-Hydroxybenzoic Acid</v>
      </c>
      <c r="AA619" s="165" t="str">
        <f>IFERROR(__xludf.DUMMYFUNCTION("""COMPUTED_VALUE"""),"Accepted")</f>
        <v>Accepted</v>
      </c>
      <c r="AB619" s="166" t="str">
        <f>IFERROR(__xludf.DUMMYFUNCTION("""COMPUTED_VALUE"""),"https://papers.ssrn.com/sol3/papers.cfm?abstract_id=4354181")</f>
        <v>https://papers.ssrn.com/sol3/papers.cfm?abstract_id=4354181</v>
      </c>
      <c r="AC619" s="166" t="str">
        <f>IFERROR(__xludf.DUMMYFUNCTION("""COMPUTED_VALUE"""),"https://drive.google.com/drive/folders/1PbdseYph4v2TiRCmR64NXvBEw8-62YeP?usp=drive_link")</f>
        <v>https://drive.google.com/drive/folders/1PbdseYph4v2TiRCmR64NXvBEw8-62YeP?usp=drive_link</v>
      </c>
    </row>
    <row r="620" ht="15.75" customHeight="1">
      <c r="F620" s="205"/>
      <c r="V620" s="209"/>
      <c r="W620" s="209"/>
      <c r="Z620" s="165" t="str">
        <f>IFERROR(__xludf.DUMMYFUNCTION("""COMPUTED_VALUE"""),"Exchange Spring Effect in SrFe12O19/CoFe2O4 Nanocomposite Magnets of Various Composition Ratio")</f>
        <v>Exchange Spring Effect in SrFe12O19/CoFe2O4 Nanocomposite Magnets of Various Composition Ratio</v>
      </c>
      <c r="AA620" s="165" t="str">
        <f>IFERROR(__xludf.DUMMYFUNCTION("""COMPUTED_VALUE"""),"Accepted")</f>
        <v>Accepted</v>
      </c>
      <c r="AB620" s="165"/>
      <c r="AC620" s="166" t="str">
        <f>IFERROR(__xludf.DUMMYFUNCTION("""COMPUTED_VALUE"""),"https://drive.google.com/drive/folders/1PbdseYph4v2TiRCmR64NXvBEw8-62YeP?usp=drive_link")</f>
        <v>https://drive.google.com/drive/folders/1PbdseYph4v2TiRCmR64NXvBEw8-62YeP?usp=drive_link</v>
      </c>
    </row>
    <row r="621" ht="15.75" customHeight="1">
      <c r="F621" s="205"/>
      <c r="V621" s="209"/>
      <c r="W621" s="209"/>
      <c r="Z621" s="165" t="str">
        <f>IFERROR(__xludf.DUMMYFUNCTION("""COMPUTED_VALUE"""),"Comparison Machine Learning Technique for Grade Classification of Exported Cavendish Banana        ")</f>
        <v>Comparison Machine Learning Technique for Grade Classification of Exported Cavendish Banana        </v>
      </c>
      <c r="AA621" s="165" t="str">
        <f>IFERROR(__xludf.DUMMYFUNCTION("""COMPUTED_VALUE"""),"Accepted")</f>
        <v>Accepted</v>
      </c>
      <c r="AB621" s="165"/>
      <c r="AC621" s="166" t="str">
        <f>IFERROR(__xludf.DUMMYFUNCTION("""COMPUTED_VALUE"""),"https://drive.google.com/drive/folders/1PbdseYph4v2TiRCmR64NXvBEw8-62YeP?usp=drive_link")</f>
        <v>https://drive.google.com/drive/folders/1PbdseYph4v2TiRCmR64NXvBEw8-62YeP?usp=drive_link</v>
      </c>
    </row>
    <row r="622" ht="15.75" customHeight="1">
      <c r="F622" s="205"/>
      <c r="V622" s="209"/>
      <c r="W622" s="209"/>
      <c r="Z622" s="165" t="str">
        <f>IFERROR(__xludf.DUMMYFUNCTION("""COMPUTED_VALUE"""),"Magnetization Method of Ceramic Ferrite Magnets Using a Cu Rod")</f>
        <v>Magnetization Method of Ceramic Ferrite Magnets Using a Cu Rod</v>
      </c>
      <c r="AA622" s="165" t="str">
        <f>IFERROR(__xludf.DUMMYFUNCTION("""COMPUTED_VALUE"""),"Accepted")</f>
        <v>Accepted</v>
      </c>
      <c r="AB622" s="165"/>
      <c r="AC622" s="166" t="str">
        <f>IFERROR(__xludf.DUMMYFUNCTION("""COMPUTED_VALUE"""),"https://drive.google.com/drive/folders/1PbdseYph4v2TiRCmR64NXvBEw8-62YeP?usp=drive_link")</f>
        <v>https://drive.google.com/drive/folders/1PbdseYph4v2TiRCmR64NXvBEw8-62YeP?usp=drive_link</v>
      </c>
    </row>
    <row r="623" ht="15.75" customHeight="1">
      <c r="F623" s="205"/>
      <c r="V623" s="209"/>
      <c r="W623" s="209"/>
      <c r="Z623" s="165" t="str">
        <f>IFERROR(__xludf.DUMMYFUNCTION("""COMPUTED_VALUE"""),"Chitosan-Based Molecularly Imprinted Polymer Modified Zinc Oxyde/Graphene Nanocomposite/Screen Printed Carbon Electrode for Electrochemical Detection of Methyl Paraben")</f>
        <v>Chitosan-Based Molecularly Imprinted Polymer Modified Zinc Oxyde/Graphene Nanocomposite/Screen Printed Carbon Electrode for Electrochemical Detection of Methyl Paraben</v>
      </c>
      <c r="AA623" s="165" t="str">
        <f>IFERROR(__xludf.DUMMYFUNCTION("""COMPUTED_VALUE"""),"Accepted")</f>
        <v>Accepted</v>
      </c>
      <c r="AB623" s="166" t="str">
        <f>IFERROR(__xludf.DUMMYFUNCTION("""COMPUTED_VALUE"""),"https://iopscience.iop.org/article/10.1149/1945-7111/ad0ff4")</f>
        <v>https://iopscience.iop.org/article/10.1149/1945-7111/ad0ff4</v>
      </c>
      <c r="AC623" s="166" t="str">
        <f>IFERROR(__xludf.DUMMYFUNCTION("""COMPUTED_VALUE"""),"https://drive.google.com/drive/folders/1PbdseYph4v2TiRCmR64NXvBEw8-62YeP?usp=drive_link")</f>
        <v>https://drive.google.com/drive/folders/1PbdseYph4v2TiRCmR64NXvBEw8-62YeP?usp=drive_link</v>
      </c>
    </row>
    <row r="624" ht="15.75" customHeight="1">
      <c r="F624" s="205"/>
      <c r="V624" s="209"/>
      <c r="W624" s="209"/>
      <c r="Z624" s="165" t="str">
        <f>IFERROR(__xludf.DUMMYFUNCTION("""COMPUTED_VALUE"""),"Light Management Investigation of Transparent DSSC based on Ln3+ ion doped BaO-ZnF2-B2O3-TeO2 Glass (Ln3+ = Dy3+/Sm3+/Eu3+) as UV Down-conversion Material")</f>
        <v>Light Management Investigation of Transparent DSSC based on Ln3+ ion doped BaO-ZnF2-B2O3-TeO2 Glass (Ln3+ = Dy3+/Sm3+/Eu3+) as UV Down-conversion Material</v>
      </c>
      <c r="AA624" s="165" t="str">
        <f>IFERROR(__xludf.DUMMYFUNCTION("""COMPUTED_VALUE"""),"Accepted")</f>
        <v>Accepted</v>
      </c>
      <c r="AB624" s="165"/>
      <c r="AC624" s="166" t="str">
        <f>IFERROR(__xludf.DUMMYFUNCTION("""COMPUTED_VALUE"""),"https://drive.google.com/drive/folders/1PbdseYph4v2TiRCmR64NXvBEw8-62YeP?usp=drive_link")</f>
        <v>https://drive.google.com/drive/folders/1PbdseYph4v2TiRCmR64NXvBEw8-62YeP?usp=drive_link</v>
      </c>
    </row>
    <row r="625" ht="15.75" customHeight="1">
      <c r="F625" s="205"/>
      <c r="V625" s="209"/>
      <c r="W625" s="209"/>
      <c r="Z625" s="165" t="str">
        <f>IFERROR(__xludf.DUMMYFUNCTION("""COMPUTED_VALUE"""),"Photoluminescence properties of cesium lead bromide nanocrystals depending on ligand used in their synthesis")</f>
        <v>Photoluminescence properties of cesium lead bromide nanocrystals depending on ligand used in their synthesis</v>
      </c>
      <c r="AA625" s="165" t="str">
        <f>IFERROR(__xludf.DUMMYFUNCTION("""COMPUTED_VALUE"""),"Accepted")</f>
        <v>Accepted</v>
      </c>
      <c r="AB625" s="165"/>
      <c r="AC625" s="166" t="str">
        <f>IFERROR(__xludf.DUMMYFUNCTION("""COMPUTED_VALUE"""),"https://drive.google.com/drive/folders/1PbdseYph4v2TiRCmR64NXvBEw8-62YeP?usp=drive_link")</f>
        <v>https://drive.google.com/drive/folders/1PbdseYph4v2TiRCmR64NXvBEw8-62YeP?usp=drive_link</v>
      </c>
    </row>
    <row r="626" ht="15.75" customHeight="1">
      <c r="F626" s="205"/>
      <c r="V626" s="209"/>
      <c r="W626" s="209"/>
      <c r="Z626" s="165" t="str">
        <f>IFERROR(__xludf.DUMMYFUNCTION("""COMPUTED_VALUE"""),"Photoanode Modification Based on Lignin Extracted from Rice Husk for Dye-Sensitized Solar Cells")</f>
        <v>Photoanode Modification Based on Lignin Extracted from Rice Husk for Dye-Sensitized Solar Cells</v>
      </c>
      <c r="AA626" s="165" t="str">
        <f>IFERROR(__xludf.DUMMYFUNCTION("""COMPUTED_VALUE"""),"Accepted")</f>
        <v>Accepted</v>
      </c>
      <c r="AB626" s="165"/>
      <c r="AC626" s="166" t="str">
        <f>IFERROR(__xludf.DUMMYFUNCTION("""COMPUTED_VALUE"""),"https://drive.google.com/drive/folders/1PbdseYph4v2TiRCmR64NXvBEw8-62YeP?usp=drive_link")</f>
        <v>https://drive.google.com/drive/folders/1PbdseYph4v2TiRCmR64NXvBEw8-62YeP?usp=drive_link</v>
      </c>
    </row>
    <row r="627" ht="15.75" customHeight="1">
      <c r="F627" s="205"/>
      <c r="V627" s="209"/>
      <c r="W627" s="209"/>
      <c r="Z627" s="165" t="str">
        <f>IFERROR(__xludf.DUMMYFUNCTION("""COMPUTED_VALUE"""),"Development of Mobile Biosensor Reader for Wearable Sweat Glucose Biosensor Application")</f>
        <v>Development of Mobile Biosensor Reader for Wearable Sweat Glucose Biosensor Application</v>
      </c>
      <c r="AA627" s="165" t="str">
        <f>IFERROR(__xludf.DUMMYFUNCTION("""COMPUTED_VALUE"""),"Accepted")</f>
        <v>Accepted</v>
      </c>
      <c r="AB627" s="166" t="str">
        <f>IFERROR(__xludf.DUMMYFUNCTION("""COMPUTED_VALUE"""),"https://iopscience.iop.org/article/10.1088/1742-6596/2596/1/012031")</f>
        <v>https://iopscience.iop.org/article/10.1088/1742-6596/2596/1/012031</v>
      </c>
      <c r="AC627" s="166" t="str">
        <f>IFERROR(__xludf.DUMMYFUNCTION("""COMPUTED_VALUE"""),"https://drive.google.com/drive/folders/1PbdseYph4v2TiRCmR64NXvBEw8-62YeP?usp=drive_link")</f>
        <v>https://drive.google.com/drive/folders/1PbdseYph4v2TiRCmR64NXvBEw8-62YeP?usp=drive_link</v>
      </c>
    </row>
    <row r="628" ht="15.75" customHeight="1">
      <c r="F628" s="205"/>
      <c r="V628" s="209"/>
      <c r="W628" s="209"/>
      <c r="Z628" s="165" t="str">
        <f>IFERROR(__xludf.DUMMYFUNCTION("""COMPUTED_VALUE"""),"Enhancing Urin Glucose Sensing Performance through the Introduction of Two-Dimensional Metal Dichalcogenides and Gold Nanoparticles into Ag/UiO-66 Chip of Surface Plasmon Resonance")</f>
        <v>Enhancing Urin Glucose Sensing Performance through the Introduction of Two-Dimensional Metal Dichalcogenides and Gold Nanoparticles into Ag/UiO-66 Chip of Surface Plasmon Resonance</v>
      </c>
      <c r="AA628" s="165" t="str">
        <f>IFERROR(__xludf.DUMMYFUNCTION("""COMPUTED_VALUE"""),"Accepted")</f>
        <v>Accepted</v>
      </c>
      <c r="AB628" s="166" t="str">
        <f>IFERROR(__xludf.DUMMYFUNCTION("""COMPUTED_VALUE"""),"https://iopscience.iop.org/article/10.1088/1361-6528/ad12ed/meta")</f>
        <v>https://iopscience.iop.org/article/10.1088/1361-6528/ad12ed/meta</v>
      </c>
      <c r="AC628" s="166" t="str">
        <f>IFERROR(__xludf.DUMMYFUNCTION("""COMPUTED_VALUE"""),"https://drive.google.com/drive/folders/1PbdseYph4v2TiRCmR64NXvBEw8-62YeP?usp=drive_link")</f>
        <v>https://drive.google.com/drive/folders/1PbdseYph4v2TiRCmR64NXvBEw8-62YeP?usp=drive_link</v>
      </c>
    </row>
    <row r="629" ht="15.75" customHeight="1">
      <c r="F629" s="205"/>
      <c r="V629" s="209"/>
      <c r="W629" s="209"/>
      <c r="Z629" s="165" t="str">
        <f>IFERROR(__xludf.DUMMYFUNCTION("""COMPUTED_VALUE"""),"2D Materials Integrated in Electrochemical Biosensors for Virus Detection: Property Engineering Strategies and Device Applications")</f>
        <v>2D Materials Integrated in Electrochemical Biosensors for Virus Detection: Property Engineering Strategies and Device Applications</v>
      </c>
      <c r="AA629" s="165" t="str">
        <f>IFERROR(__xludf.DUMMYFUNCTION("""COMPUTED_VALUE"""),"Accepted")</f>
        <v>Accepted</v>
      </c>
      <c r="AB629" s="165"/>
      <c r="AC629" s="166" t="str">
        <f>IFERROR(__xludf.DUMMYFUNCTION("""COMPUTED_VALUE"""),"https://drive.google.com/drive/folders/1PbdseYph4v2TiRCmR64NXvBEw8-62YeP?usp=drive_link")</f>
        <v>https://drive.google.com/drive/folders/1PbdseYph4v2TiRCmR64NXvBEw8-62YeP?usp=drive_link</v>
      </c>
    </row>
    <row r="630" ht="15.75" customHeight="1">
      <c r="F630" s="205"/>
      <c r="V630" s="209"/>
      <c r="W630" s="209"/>
      <c r="Z630" s="165" t="str">
        <f>IFERROR(__xludf.DUMMYFUNCTION("""COMPUTED_VALUE"""),"Optimum System Design for Performance Monitoring of Buildings under Seismic Excitation")</f>
        <v>Optimum System Design for Performance Monitoring of Buildings under Seismic Excitation</v>
      </c>
      <c r="AA630" s="165" t="str">
        <f>IFERROR(__xludf.DUMMYFUNCTION("""COMPUTED_VALUE"""),"Accepted")</f>
        <v>Accepted</v>
      </c>
      <c r="AB630" s="165"/>
      <c r="AC630" s="166" t="str">
        <f>IFERROR(__xludf.DUMMYFUNCTION("""COMPUTED_VALUE"""),"https://drive.google.com/drive/folders/1PbdseYph4v2TiRCmR64NXvBEw8-62YeP?usp=drive_link")</f>
        <v>https://drive.google.com/drive/folders/1PbdseYph4v2TiRCmR64NXvBEw8-62YeP?usp=drive_link</v>
      </c>
    </row>
    <row r="631" ht="15.75" customHeight="1">
      <c r="F631" s="205"/>
      <c r="V631" s="209"/>
      <c r="W631" s="209"/>
      <c r="Z631" s="165" t="str">
        <f>IFERROR(__xludf.DUMMYFUNCTION("""COMPUTED_VALUE"""),"Filtering Method to Enhance Feature Extraction for
Improving Multiclass SVM Classification of 
Concrete Crack Images")</f>
        <v>Filtering Method to Enhance Feature Extraction for
Improving Multiclass SVM Classification of 
Concrete Crack Images</v>
      </c>
      <c r="AA631" s="165" t="str">
        <f>IFERROR(__xludf.DUMMYFUNCTION("""COMPUTED_VALUE"""),"Accepted")</f>
        <v>Accepted</v>
      </c>
      <c r="AB631" s="165"/>
      <c r="AC631" s="166" t="str">
        <f>IFERROR(__xludf.DUMMYFUNCTION("""COMPUTED_VALUE"""),"https://drive.google.com/drive/folders/1PbdseYph4v2TiRCmR64NXvBEw8-62YeP?usp=drive_link")</f>
        <v>https://drive.google.com/drive/folders/1PbdseYph4v2TiRCmR64NXvBEw8-62YeP?usp=drive_link</v>
      </c>
    </row>
    <row r="632" ht="15.75" customHeight="1">
      <c r="F632" s="205"/>
      <c r="V632" s="209"/>
      <c r="W632" s="209"/>
      <c r="Z632" s="165" t="str">
        <f>IFERROR(__xludf.DUMMYFUNCTION("""COMPUTED_VALUE"""),"Performance Evaluation of Airflow Sensor for Mechanical Ventilator: Engineering Experience During Covid-19 Pandemic")</f>
        <v>Performance Evaluation of Airflow Sensor for Mechanical Ventilator: Engineering Experience During Covid-19 Pandemic</v>
      </c>
      <c r="AA632" s="165" t="str">
        <f>IFERROR(__xludf.DUMMYFUNCTION("""COMPUTED_VALUE"""),"Accepted")</f>
        <v>Accepted</v>
      </c>
      <c r="AB632" s="165"/>
      <c r="AC632" s="166" t="str">
        <f>IFERROR(__xludf.DUMMYFUNCTION("""COMPUTED_VALUE"""),"https://drive.google.com/drive/folders/1PbdseYph4v2TiRCmR64NXvBEw8-62YeP?usp=drive_link")</f>
        <v>https://drive.google.com/drive/folders/1PbdseYph4v2TiRCmR64NXvBEw8-62YeP?usp=drive_link</v>
      </c>
    </row>
    <row r="633" ht="15.75" customHeight="1">
      <c r="F633" s="205"/>
      <c r="V633" s="209"/>
      <c r="W633" s="209"/>
      <c r="Z633" s="165" t="str">
        <f>IFERROR(__xludf.DUMMYFUNCTION("""COMPUTED_VALUE"""),"Hydroponic of Bokchoy (Brassica rapa L) and Lettuce 
(Lactuca sativa L) using Smart Controlling System")</f>
        <v>Hydroponic of Bokchoy (Brassica rapa L) and Lettuce 
(Lactuca sativa L) using Smart Controlling System</v>
      </c>
      <c r="AA633" s="165" t="str">
        <f>IFERROR(__xludf.DUMMYFUNCTION("""COMPUTED_VALUE"""),"Accepted")</f>
        <v>Accepted</v>
      </c>
      <c r="AB633" s="165"/>
      <c r="AC633" s="166" t="str">
        <f>IFERROR(__xludf.DUMMYFUNCTION("""COMPUTED_VALUE"""),"https://drive.google.com/drive/folders/1PbdseYph4v2TiRCmR64NXvBEw8-62YeP?usp=drive_link")</f>
        <v>https://drive.google.com/drive/folders/1PbdseYph4v2TiRCmR64NXvBEw8-62YeP?usp=drive_link</v>
      </c>
    </row>
    <row r="634" ht="15.75" customHeight="1">
      <c r="F634" s="205"/>
      <c r="V634" s="209"/>
      <c r="W634" s="209"/>
      <c r="Z634" s="165" t="str">
        <f>IFERROR(__xludf.DUMMYFUNCTION("""COMPUTED_VALUE"""),"Characterization of Deposition of Aluminum (Al) Thin Film on Silicon Substrate with ARC-12M Sputtering System")</f>
        <v>Characterization of Deposition of Aluminum (Al) Thin Film on Silicon Substrate with ARC-12M Sputtering System</v>
      </c>
      <c r="AA634" s="165" t="str">
        <f>IFERROR(__xludf.DUMMYFUNCTION("""COMPUTED_VALUE"""),"Accepted")</f>
        <v>Accepted</v>
      </c>
      <c r="AB634" s="165"/>
      <c r="AC634" s="166" t="str">
        <f>IFERROR(__xludf.DUMMYFUNCTION("""COMPUTED_VALUE"""),"https://drive.google.com/drive/folders/1PbdseYph4v2TiRCmR64NXvBEw8-62YeP?usp=drive_link")</f>
        <v>https://drive.google.com/drive/folders/1PbdseYph4v2TiRCmR64NXvBEw8-62YeP?usp=drive_link</v>
      </c>
    </row>
    <row r="635" ht="15.75" customHeight="1">
      <c r="F635" s="205"/>
      <c r="V635" s="209"/>
      <c r="W635" s="209"/>
      <c r="Z635" s="165" t="str">
        <f>IFERROR(__xludf.DUMMYFUNCTION("""COMPUTED_VALUE"""),"Deposition of Insulating Material on Substrate with ARC-12M RF-Sputtering")</f>
        <v>Deposition of Insulating Material on Substrate with ARC-12M RF-Sputtering</v>
      </c>
      <c r="AA635" s="165" t="str">
        <f>IFERROR(__xludf.DUMMYFUNCTION("""COMPUTED_VALUE"""),"Accepted")</f>
        <v>Accepted</v>
      </c>
      <c r="AB635" s="165"/>
      <c r="AC635" s="166" t="str">
        <f>IFERROR(__xludf.DUMMYFUNCTION("""COMPUTED_VALUE"""),"https://drive.google.com/drive/folders/1PbdseYph4v2TiRCmR64NXvBEw8-62YeP?usp=drive_link")</f>
        <v>https://drive.google.com/drive/folders/1PbdseYph4v2TiRCmR64NXvBEw8-62YeP?usp=drive_link</v>
      </c>
    </row>
    <row r="636" ht="15.75" customHeight="1">
      <c r="F636" s="205"/>
      <c r="V636" s="209"/>
      <c r="W636" s="209"/>
      <c r="Z636" s="165" t="str">
        <f>IFERROR(__xludf.DUMMYFUNCTION("""COMPUTED_VALUE"""),"Ontology Learning from Object-Relational Mapping Metadata and Relational Database")</f>
        <v>Ontology Learning from Object-Relational Mapping Metadata and Relational Database</v>
      </c>
      <c r="AA636" s="165" t="str">
        <f>IFERROR(__xludf.DUMMYFUNCTION("""COMPUTED_VALUE"""),"Accepted")</f>
        <v>Accepted</v>
      </c>
      <c r="AB636" s="165"/>
      <c r="AC636" s="166" t="str">
        <f>IFERROR(__xludf.DUMMYFUNCTION("""COMPUTED_VALUE"""),"https://drive.google.com/drive/folders/1PbdseYph4v2TiRCmR64NXvBEw8-62YeP?usp=drive_link")</f>
        <v>https://drive.google.com/drive/folders/1PbdseYph4v2TiRCmR64NXvBEw8-62YeP?usp=drive_link</v>
      </c>
    </row>
    <row r="637" ht="15.75" customHeight="1">
      <c r="F637" s="205"/>
      <c r="V637" s="209"/>
      <c r="W637" s="209"/>
      <c r="Z637" s="165" t="str">
        <f>IFERROR(__xludf.DUMMYFUNCTION("""COMPUTED_VALUE"""),"Chicken Meat and Beef Identification in UV-Vis Absorbance Spectrum by Applying Savitzky-Golay Method")</f>
        <v>Chicken Meat and Beef Identification in UV-Vis Absorbance Spectrum by Applying Savitzky-Golay Method</v>
      </c>
      <c r="AA637" s="165" t="str">
        <f>IFERROR(__xludf.DUMMYFUNCTION("""COMPUTED_VALUE"""),"Accepted")</f>
        <v>Accepted</v>
      </c>
      <c r="AB637" s="165"/>
      <c r="AC637" s="166" t="str">
        <f>IFERROR(__xludf.DUMMYFUNCTION("""COMPUTED_VALUE"""),"https://drive.google.com/drive/folders/1PbdseYph4v2TiRCmR64NXvBEw8-62YeP?usp=drive_link")</f>
        <v>https://drive.google.com/drive/folders/1PbdseYph4v2TiRCmR64NXvBEw8-62YeP?usp=drive_link</v>
      </c>
    </row>
    <row r="638" ht="15.75" customHeight="1">
      <c r="F638" s="205"/>
      <c r="V638" s="209"/>
      <c r="W638" s="209"/>
      <c r="Z638" s="165" t="str">
        <f>IFERROR(__xludf.DUMMYFUNCTION("""COMPUTED_VALUE"""),"Temperature Sensor Integration into the Node-RED Platform for Transformer Monitoring")</f>
        <v>Temperature Sensor Integration into the Node-RED Platform for Transformer Monitoring</v>
      </c>
      <c r="AA638" s="165" t="str">
        <f>IFERROR(__xludf.DUMMYFUNCTION("""COMPUTED_VALUE"""),"Accepted")</f>
        <v>Accepted</v>
      </c>
      <c r="AB638" s="165"/>
      <c r="AC638" s="166" t="str">
        <f>IFERROR(__xludf.DUMMYFUNCTION("""COMPUTED_VALUE"""),"https://drive.google.com/drive/folders/1PbdseYph4v2TiRCmR64NXvBEw8-62YeP?usp=drive_link")</f>
        <v>https://drive.google.com/drive/folders/1PbdseYph4v2TiRCmR64NXvBEw8-62YeP?usp=drive_link</v>
      </c>
    </row>
    <row r="639" ht="15.75" customHeight="1">
      <c r="F639" s="205"/>
      <c r="V639" s="209"/>
      <c r="W639" s="209"/>
      <c r="Z639" s="165" t="str">
        <f>IFERROR(__xludf.DUMMYFUNCTION("""COMPUTED_VALUE"""),"FPGA-based Digital Circuit Design for UAV Pilot-in-Loop System with Field Test Verification")</f>
        <v>FPGA-based Digital Circuit Design for UAV Pilot-in-Loop System with Field Test Verification</v>
      </c>
      <c r="AA639" s="165" t="str">
        <f>IFERROR(__xludf.DUMMYFUNCTION("""COMPUTED_VALUE"""),"Accepted")</f>
        <v>Accepted</v>
      </c>
      <c r="AB639" s="165"/>
      <c r="AC639" s="166" t="str">
        <f>IFERROR(__xludf.DUMMYFUNCTION("""COMPUTED_VALUE"""),"https://drive.google.com/drive/folders/1PbdseYph4v2TiRCmR64NXvBEw8-62YeP?usp=drive_link")</f>
        <v>https://drive.google.com/drive/folders/1PbdseYph4v2TiRCmR64NXvBEw8-62YeP?usp=drive_link</v>
      </c>
    </row>
    <row r="640" ht="15.75" customHeight="1">
      <c r="F640" s="205"/>
      <c r="V640" s="209"/>
      <c r="W640" s="209"/>
      <c r="Z640" s="165" t="str">
        <f>IFERROR(__xludf.DUMMYFUNCTION("""COMPUTED_VALUE"""),"Development of Extreme Learning Machine Method for Detecting Cadmium Concentration in Beche-de-mere using Hyperspectral Imaging Technologyue")</f>
        <v>Development of Extreme Learning Machine Method for Detecting Cadmium Concentration in Beche-de-mere using Hyperspectral Imaging Technologyue</v>
      </c>
      <c r="AA640" s="165" t="str">
        <f>IFERROR(__xludf.DUMMYFUNCTION("""COMPUTED_VALUE"""),"Accepted")</f>
        <v>Accepted</v>
      </c>
      <c r="AB640" s="165"/>
      <c r="AC640" s="166" t="str">
        <f>IFERROR(__xludf.DUMMYFUNCTION("""COMPUTED_VALUE"""),"https://drive.google.com/drive/folders/1PbdseYph4v2TiRCmR64NXvBEw8-62YeP?usp=drive_link")</f>
        <v>https://drive.google.com/drive/folders/1PbdseYph4v2TiRCmR64NXvBEw8-62YeP?usp=drive_link</v>
      </c>
    </row>
    <row r="641" ht="15.75" customHeight="1">
      <c r="F641" s="205"/>
      <c r="V641" s="209"/>
      <c r="W641" s="209"/>
      <c r="Z641" s="165" t="str">
        <f>IFERROR(__xludf.DUMMYFUNCTION("""COMPUTED_VALUE"""),"Micro-carbon synthesis from pine resin using spray pyrolysis and its application as mask coating materials: the effect of pyrolysis gas flow rate, solid to solvent ratio, and pyrolysis temperature")</f>
        <v>Micro-carbon synthesis from pine resin using spray pyrolysis and its application as mask coating materials: the effect of pyrolysis gas flow rate, solid to solvent ratio, and pyrolysis temperature</v>
      </c>
      <c r="AA641" s="165" t="str">
        <f>IFERROR(__xludf.DUMMYFUNCTION("""COMPUTED_VALUE"""),"Accepted")</f>
        <v>Accepted</v>
      </c>
      <c r="AB641" s="165"/>
      <c r="AC641" s="166" t="str">
        <f>IFERROR(__xludf.DUMMYFUNCTION("""COMPUTED_VALUE"""),"https://drive.google.com/drive/folders/1PbdseYph4v2TiRCmR64NXvBEw8-62YeP?usp=drive_link")</f>
        <v>https://drive.google.com/drive/folders/1PbdseYph4v2TiRCmR64NXvBEw8-62YeP?usp=drive_link</v>
      </c>
    </row>
    <row r="642" ht="15.75" customHeight="1">
      <c r="F642" s="205"/>
      <c r="V642" s="209"/>
      <c r="W642" s="209"/>
      <c r="Z642" s="165" t="str">
        <f>IFERROR(__xludf.DUMMYFUNCTION("""COMPUTED_VALUE"""),"naspaclust: a hybridisation of spatial fuzzy clustering with nature-inspired optimisation Neural Computing and Applications (NCAA)")</f>
        <v>naspaclust: a hybridisation of spatial fuzzy clustering with nature-inspired optimisation Neural Computing and Applications (NCAA)</v>
      </c>
      <c r="AA642" s="165" t="str">
        <f>IFERROR(__xludf.DUMMYFUNCTION("""COMPUTED_VALUE"""),"Accepted")</f>
        <v>Accepted</v>
      </c>
      <c r="AB642" s="165"/>
      <c r="AC642" s="165"/>
    </row>
    <row r="643" ht="15.75" customHeight="1">
      <c r="F643" s="205"/>
      <c r="V643" s="209"/>
      <c r="W643" s="209"/>
      <c r="Z643" s="165" t="str">
        <f>IFERROR(__xludf.DUMMYFUNCTION("""COMPUTED_VALUE"""),"Gold Price Predictive Business Analytics model using ARIMA and Long Short-Term Memory Cogent Economics &amp; Finance  ")</f>
        <v>Gold Price Predictive Business Analytics model using ARIMA and Long Short-Term Memory Cogent Economics &amp; Finance  </v>
      </c>
      <c r="AA643" s="165" t="str">
        <f>IFERROR(__xludf.DUMMYFUNCTION("""COMPUTED_VALUE"""),"Accepted")</f>
        <v>Accepted</v>
      </c>
      <c r="AB643" s="166" t="str">
        <f>IFERROR(__xludf.DUMMYFUNCTION("""COMPUTED_VALUE"""),"https://www.scopus.com/authid/detail.uri?authorId=57205125029")</f>
        <v>https://www.scopus.com/authid/detail.uri?authorId=57205125029</v>
      </c>
      <c r="AC643" s="165"/>
    </row>
    <row r="644" ht="15.75" customHeight="1">
      <c r="F644" s="205"/>
      <c r="V644" s="209"/>
      <c r="W644" s="209"/>
      <c r="Z644" s="165" t="str">
        <f>IFERROR(__xludf.DUMMYFUNCTION("""COMPUTED_VALUE"""),"Fitting Structural Equation Models with h-likelihood using hsem R Package and Albatross Analytics R Shin")</f>
        <v>Fitting Structural Equation Models with h-likelihood using hsem R Package and Albatross Analytics R Shin</v>
      </c>
      <c r="AA644" s="165" t="str">
        <f>IFERROR(__xludf.DUMMYFUNCTION("""COMPUTED_VALUE"""),"Accepted")</f>
        <v>Accepted</v>
      </c>
      <c r="AB644" s="166" t="str">
        <f>IFERROR(__xludf.DUMMYFUNCTION("""COMPUTED_VALUE"""),"https://www.scopus.com/authid/detail.uri?authorId=57431400300")</f>
        <v>https://www.scopus.com/authid/detail.uri?authorId=57431400300</v>
      </c>
      <c r="AC644" s="165"/>
    </row>
    <row r="645" ht="15.75" customHeight="1">
      <c r="F645" s="205"/>
      <c r="V645" s="209"/>
      <c r="W645" s="209"/>
      <c r="Z645" s="165" t="str">
        <f>IFERROR(__xludf.DUMMYFUNCTION("""COMPUTED_VALUE"""),"Proposed New Long Short-Term Memory Model Towards Indonesian Sign Language Recognition ")</f>
        <v>Proposed New Long Short-Term Memory Model Towards Indonesian Sign Language Recognition </v>
      </c>
      <c r="AA645" s="165" t="str">
        <f>IFERROR(__xludf.DUMMYFUNCTION("""COMPUTED_VALUE"""),"Accepted")</f>
        <v>Accepted</v>
      </c>
      <c r="AB645" s="166" t="str">
        <f>IFERROR(__xludf.DUMMYFUNCTION("""COMPUTED_VALUE"""),"https://www.igi-global.com/chapter/artificial-intelligence-and-machine-learning-innovation-in-sdgs/317696")</f>
        <v>https://www.igi-global.com/chapter/artificial-intelligence-and-machine-learning-innovation-in-sdgs/317696</v>
      </c>
      <c r="AC645" s="165" t="str">
        <f>IFERROR(__xludf.DUMMYFUNCTION("""COMPUTED_VALUE"""),"10.4018/978-1-7998-9220-5.ch154")</f>
        <v>10.4018/978-1-7998-9220-5.ch154</v>
      </c>
    </row>
    <row r="646" ht="15.75" customHeight="1">
      <c r="F646" s="205"/>
      <c r="V646" s="209"/>
      <c r="W646" s="209"/>
      <c r="Z646" s="165" t="str">
        <f>IFERROR(__xludf.DUMMYFUNCTION("""COMPUTED_VALUE"""),"Using Alchian Allen Theorem to Revisiting Fish Trade Connectivity in Indonesia")</f>
        <v>Using Alchian Allen Theorem to Revisiting Fish Trade Connectivity in Indonesia</v>
      </c>
      <c r="AA646" s="165" t="str">
        <f>IFERROR(__xludf.DUMMYFUNCTION("""COMPUTED_VALUE"""),"Accepted")</f>
        <v>Accepted</v>
      </c>
      <c r="AB646" s="166" t="str">
        <f>IFERROR(__xludf.DUMMYFUNCTION("""COMPUTED_VALUE"""),"https://dl.acm.org/doi/abs/10.1145/3575882.3575933")</f>
        <v>https://dl.acm.org/doi/abs/10.1145/3575882.3575933</v>
      </c>
      <c r="AC646" s="166" t="str">
        <f>IFERROR(__xludf.DUMMYFUNCTION("""COMPUTED_VALUE"""),"https://doi.org/10.1145/3575882.3575933")</f>
        <v>https://doi.org/10.1145/3575882.3575933</v>
      </c>
    </row>
    <row r="647" ht="15.75" customHeight="1">
      <c r="F647" s="205"/>
      <c r="V647" s="209"/>
      <c r="W647" s="209"/>
      <c r="Z647" s="165" t="str">
        <f>IFERROR(__xludf.DUMMYFUNCTION("""COMPUTED_VALUE"""),"Indigenous knowledge of disaster risk reduction in Indonesia")</f>
        <v>Indigenous knowledge of disaster risk reduction in Indonesia</v>
      </c>
      <c r="AA647" s="165" t="str">
        <f>IFERROR(__xludf.DUMMYFUNCTION("""COMPUTED_VALUE"""),"Accepted")</f>
        <v>Accepted</v>
      </c>
      <c r="AB647" s="166" t="str">
        <f>IFERROR(__xludf.DUMMYFUNCTION("""COMPUTED_VALUE"""),"https://journal.uob.edu.bh/handle/123456789/4836")</f>
        <v>https://journal.uob.edu.bh/handle/123456789/4836</v>
      </c>
      <c r="AC647" s="166" t="str">
        <f>IFERROR(__xludf.DUMMYFUNCTION("""COMPUTED_VALUE"""),"http://dx.doi.org/10.12785/ijcds/130191")</f>
        <v>http://dx.doi.org/10.12785/ijcds/130191</v>
      </c>
    </row>
    <row r="648" ht="15.75" customHeight="1">
      <c r="F648" s="205"/>
      <c r="V648" s="209"/>
      <c r="W648" s="209"/>
      <c r="Z648" s="165" t="str">
        <f>IFERROR(__xludf.DUMMYFUNCTION("""COMPUTED_VALUE"""),"Handwashing Scoring System based on Classification of Video Frames")</f>
        <v>Handwashing Scoring System based on Classification of Video Frames</v>
      </c>
      <c r="AA648" s="165" t="str">
        <f>IFERROR(__xludf.DUMMYFUNCTION("""COMPUTED_VALUE"""),"Accepted")</f>
        <v>Accepted</v>
      </c>
      <c r="AB648" s="165"/>
      <c r="AC648" s="165"/>
    </row>
    <row r="649" ht="15.75" customHeight="1">
      <c r="F649" s="205"/>
      <c r="V649" s="209"/>
      <c r="W649" s="209"/>
      <c r="Z649" s="165" t="str">
        <f>IFERROR(__xludf.DUMMYFUNCTION("""COMPUTED_VALUE"""),"Coffee Bean Roasting Levels Detection: A Review")</f>
        <v>Coffee Bean Roasting Levels Detection: A Review</v>
      </c>
      <c r="AA649" s="165" t="str">
        <f>IFERROR(__xludf.DUMMYFUNCTION("""COMPUTED_VALUE"""),"Accepted")</f>
        <v>Accepted</v>
      </c>
      <c r="AB649" s="166" t="str">
        <f>IFERROR(__xludf.DUMMYFUNCTION("""COMPUTED_VALUE"""),"https://ieeexplore.ieee.org/abstract/document/10085620")</f>
        <v>https://ieeexplore.ieee.org/abstract/document/10085620</v>
      </c>
      <c r="AC649" s="166" t="str">
        <f>IFERROR(__xludf.DUMMYFUNCTION("""COMPUTED_VALUE"""),"https://doi.org/10.1109/NISS55057.2022.10085620")</f>
        <v>https://doi.org/10.1109/NISS55057.2022.10085620</v>
      </c>
    </row>
    <row r="650" ht="15.75" customHeight="1">
      <c r="F650" s="205"/>
      <c r="V650" s="209"/>
      <c r="W650" s="209"/>
      <c r="Z650" s="165" t="str">
        <f>IFERROR(__xludf.DUMMYFUNCTION("""COMPUTED_VALUE"""),"Automatic speech recognition for Indonesian medical dictation in cloud environment")</f>
        <v>Automatic speech recognition for Indonesian medical dictation in cloud environment</v>
      </c>
      <c r="AA650" s="165" t="str">
        <f>IFERROR(__xludf.DUMMYFUNCTION("""COMPUTED_VALUE"""),"Accepted")</f>
        <v>Accepted</v>
      </c>
      <c r="AB650" s="166" t="str">
        <f>IFERROR(__xludf.DUMMYFUNCTION("""COMPUTED_VALUE"""),"https://ieeexplore.ieee.org/document/10051044")</f>
        <v>https://ieeexplore.ieee.org/document/10051044</v>
      </c>
      <c r="AC650" s="166" t="str">
        <f>IFERROR(__xludf.DUMMYFUNCTION("""COMPUTED_VALUE"""),"https://doi.org/10.1109/CyMaEn57228.2023.10051044")</f>
        <v>https://doi.org/10.1109/CyMaEn57228.2023.10051044</v>
      </c>
    </row>
    <row r="651" ht="15.75" customHeight="1">
      <c r="F651" s="205"/>
      <c r="V651" s="209"/>
      <c r="W651" s="209"/>
      <c r="Z651" s="165" t="str">
        <f>IFERROR(__xludf.DUMMYFUNCTION("""COMPUTED_VALUE"""),"Improving Research Support Services in Indonesian Academic Libraries: A Recommendation for Business Process Reengineering Implementation Strategies")</f>
        <v>Improving Research Support Services in Indonesian Academic Libraries: A Recommendation for Business Process Reengineering Implementation Strategies</v>
      </c>
      <c r="AA651" s="165" t="str">
        <f>IFERROR(__xludf.DUMMYFUNCTION("""COMPUTED_VALUE"""),"Accepted")</f>
        <v>Accepted</v>
      </c>
      <c r="AB651" s="165"/>
      <c r="AC651" s="165"/>
    </row>
    <row r="652" ht="15.75" customHeight="1">
      <c r="F652" s="205"/>
      <c r="V652" s="209"/>
      <c r="W652" s="209"/>
      <c r="Z652" s="165" t="str">
        <f>IFERROR(__xludf.DUMMYFUNCTION("""COMPUTED_VALUE"""),"Twitter Dataset on Public Sentiments Towards Biodiversity Policy in Indonesia")</f>
        <v>Twitter Dataset on Public Sentiments Towards Biodiversity Policy in Indonesia</v>
      </c>
      <c r="AA652" s="165" t="str">
        <f>IFERROR(__xludf.DUMMYFUNCTION("""COMPUTED_VALUE"""),"Accepted")</f>
        <v>Accepted</v>
      </c>
      <c r="AB652" s="166" t="str">
        <f>IFERROR(__xludf.DUMMYFUNCTION("""COMPUTED_VALUE"""),"https://thesai.org/Publications/ViewPaper?Volume=14&amp;Issue=9&amp;Code=IJACSA&amp;SerialNo=35")</f>
        <v>https://thesai.org/Publications/ViewPaper?Volume=14&amp;Issue=9&amp;Code=IJACSA&amp;SerialNo=35</v>
      </c>
      <c r="AC652" s="165" t="str">
        <f>IFERROR(__xludf.DUMMYFUNCTION("""COMPUTED_VALUE"""),"
DOI: 10.14569/IJACSA.2023.0140935")</f>
        <v>
DOI: 10.14569/IJACSA.2023.0140935</v>
      </c>
    </row>
    <row r="653" ht="15.75" customHeight="1">
      <c r="F653" s="205"/>
      <c r="V653" s="209"/>
      <c r="W653" s="209"/>
      <c r="Z653" s="165" t="str">
        <f>IFERROR(__xludf.DUMMYFUNCTION("""COMPUTED_VALUE"""),"Mineral Identification on Hyperspectral Imagery of Rock Samples Using Machine Learning")</f>
        <v>Mineral Identification on Hyperspectral Imagery of Rock Samples Using Machine Learning</v>
      </c>
      <c r="AA653" s="165" t="str">
        <f>IFERROR(__xludf.DUMMYFUNCTION("""COMPUTED_VALUE"""),"Accepted")</f>
        <v>Accepted</v>
      </c>
      <c r="AB653" s="166" t="str">
        <f>IFERROR(__xludf.DUMMYFUNCTION("""COMPUTED_VALUE"""),"https://www.ijemst.net/index.php/ijemst/article/view/3722")</f>
        <v>https://www.ijemst.net/index.php/ijemst/article/view/3722</v>
      </c>
      <c r="AC653" s="166" t="str">
        <f>IFERROR(__xludf.DUMMYFUNCTION("""COMPUTED_VALUE"""),"https://doi.org/10.46328/ijemst.3722")</f>
        <v>https://doi.org/10.46328/ijemst.3722</v>
      </c>
    </row>
    <row r="654" ht="15.75" customHeight="1">
      <c r="F654" s="205"/>
      <c r="V654" s="209"/>
      <c r="W654" s="209"/>
      <c r="Z654" s="165" t="str">
        <f>IFERROR(__xludf.DUMMYFUNCTION("""COMPUTED_VALUE"""),"Hoya Species Plant Identification Based on Leaf and Flower
Using Convolutional Neural Network Models")</f>
        <v>Hoya Species Plant Identification Based on Leaf and Flower
Using Convolutional Neural Network Models</v>
      </c>
      <c r="AA654" s="165" t="str">
        <f>IFERROR(__xludf.DUMMYFUNCTION("""COMPUTED_VALUE"""),"Accepted")</f>
        <v>Accepted</v>
      </c>
      <c r="AB654" s="165"/>
      <c r="AC654" s="165" t="str">
        <f>IFERROR(__xludf.DUMMYFUNCTION("""COMPUTED_VALUE"""),"DOI: 10.1109/IC3INA60834.2023.10285768")</f>
        <v>DOI: 10.1109/IC3INA60834.2023.10285768</v>
      </c>
    </row>
    <row r="655" ht="15.75" customHeight="1">
      <c r="F655" s="205"/>
      <c r="V655" s="209"/>
      <c r="W655" s="209"/>
      <c r="Z655" s="165"/>
      <c r="AA655" s="165"/>
      <c r="AB655" s="165"/>
      <c r="AC655" s="165"/>
    </row>
    <row r="656" ht="15.75" customHeight="1">
      <c r="F656" s="205"/>
      <c r="V656" s="209"/>
      <c r="W656" s="209"/>
      <c r="Z656" s="165"/>
      <c r="AA656" s="165"/>
      <c r="AB656" s="165"/>
      <c r="AC656" s="165"/>
    </row>
    <row r="657" ht="15.75" customHeight="1">
      <c r="F657" s="205"/>
      <c r="V657" s="209"/>
      <c r="W657" s="209"/>
      <c r="Z657" s="165"/>
      <c r="AA657" s="165"/>
      <c r="AB657" s="165"/>
      <c r="AC657" s="165"/>
    </row>
    <row r="658" ht="15.75" customHeight="1">
      <c r="F658" s="205"/>
      <c r="V658" s="209"/>
      <c r="W658" s="209"/>
      <c r="Z658" s="165"/>
      <c r="AA658" s="165"/>
      <c r="AB658" s="165"/>
      <c r="AC658" s="165"/>
    </row>
    <row r="659" ht="15.75" customHeight="1">
      <c r="F659" s="205"/>
      <c r="V659" s="209"/>
      <c r="W659" s="209"/>
      <c r="Z659" s="165"/>
      <c r="AA659" s="165"/>
      <c r="AB659" s="165"/>
      <c r="AC659" s="165"/>
    </row>
    <row r="660" ht="15.75" customHeight="1">
      <c r="F660" s="205"/>
      <c r="V660" s="209"/>
      <c r="W660" s="209"/>
      <c r="Z660" s="165"/>
      <c r="AA660" s="165"/>
      <c r="AB660" s="165"/>
      <c r="AC660" s="165"/>
    </row>
    <row r="661" ht="15.75" customHeight="1">
      <c r="F661" s="205"/>
      <c r="V661" s="209"/>
      <c r="W661" s="209"/>
      <c r="Z661" s="165"/>
      <c r="AA661" s="165"/>
      <c r="AB661" s="165"/>
      <c r="AC661" s="165"/>
    </row>
    <row r="662" ht="15.75" customHeight="1">
      <c r="F662" s="205"/>
      <c r="V662" s="209"/>
      <c r="W662" s="209"/>
      <c r="Z662" s="165"/>
      <c r="AA662" s="165"/>
      <c r="AB662" s="165"/>
      <c r="AC662" s="165"/>
    </row>
    <row r="663" ht="15.75" customHeight="1">
      <c r="F663" s="205"/>
      <c r="V663" s="209"/>
      <c r="W663" s="209"/>
      <c r="Z663" s="165"/>
      <c r="AA663" s="165"/>
      <c r="AB663" s="165"/>
      <c r="AC663" s="165"/>
    </row>
    <row r="664" ht="15.75" customHeight="1">
      <c r="F664" s="205"/>
      <c r="V664" s="209"/>
      <c r="W664" s="209"/>
      <c r="Z664" s="165"/>
      <c r="AA664" s="165"/>
      <c r="AB664" s="165"/>
      <c r="AC664" s="165"/>
    </row>
    <row r="665" ht="15.75" customHeight="1">
      <c r="F665" s="205"/>
      <c r="V665" s="209"/>
      <c r="W665" s="209"/>
      <c r="Z665" s="165"/>
      <c r="AA665" s="165"/>
      <c r="AB665" s="165"/>
      <c r="AC665" s="165"/>
    </row>
    <row r="666" ht="15.75" customHeight="1">
      <c r="F666" s="205"/>
      <c r="V666" s="209"/>
      <c r="W666" s="209"/>
      <c r="Z666" s="165"/>
      <c r="AA666" s="165"/>
      <c r="AB666" s="165"/>
      <c r="AC666" s="165"/>
    </row>
    <row r="667" ht="15.75" customHeight="1">
      <c r="F667" s="205"/>
      <c r="V667" s="209"/>
      <c r="W667" s="209"/>
      <c r="Z667" s="165"/>
      <c r="AA667" s="165"/>
      <c r="AB667" s="165"/>
      <c r="AC667" s="165"/>
    </row>
    <row r="668" ht="15.75" customHeight="1">
      <c r="F668" s="205"/>
      <c r="V668" s="209"/>
      <c r="W668" s="209"/>
      <c r="Z668" s="165"/>
      <c r="AA668" s="165"/>
      <c r="AB668" s="165"/>
      <c r="AC668" s="165"/>
    </row>
    <row r="669" ht="15.75" customHeight="1">
      <c r="F669" s="205"/>
      <c r="V669" s="209"/>
      <c r="W669" s="209"/>
      <c r="Z669" s="165"/>
      <c r="AA669" s="165"/>
      <c r="AB669" s="165"/>
      <c r="AC669" s="165"/>
    </row>
    <row r="670" ht="15.75" customHeight="1">
      <c r="F670" s="205"/>
      <c r="V670" s="209"/>
      <c r="W670" s="209"/>
      <c r="Z670" s="165"/>
      <c r="AA670" s="165"/>
      <c r="AB670" s="165"/>
      <c r="AC670" s="165"/>
    </row>
    <row r="671" ht="15.75" customHeight="1">
      <c r="F671" s="205"/>
      <c r="V671" s="209"/>
      <c r="W671" s="209"/>
      <c r="Z671" s="165"/>
      <c r="AA671" s="165"/>
      <c r="AB671" s="165"/>
      <c r="AC671" s="165"/>
    </row>
    <row r="672" ht="15.75" customHeight="1">
      <c r="F672" s="205"/>
      <c r="V672" s="209"/>
      <c r="W672" s="209"/>
      <c r="Z672" s="165"/>
      <c r="AA672" s="165"/>
      <c r="AB672" s="165"/>
      <c r="AC672" s="165"/>
    </row>
    <row r="673" ht="15.75" customHeight="1">
      <c r="F673" s="205"/>
      <c r="V673" s="209"/>
      <c r="W673" s="209"/>
      <c r="Z673" s="165"/>
      <c r="AA673" s="165"/>
      <c r="AB673" s="165"/>
      <c r="AC673" s="165"/>
    </row>
    <row r="674" ht="15.75" customHeight="1">
      <c r="F674" s="205"/>
      <c r="V674" s="209"/>
      <c r="W674" s="209"/>
      <c r="Z674" s="165"/>
      <c r="AA674" s="165"/>
      <c r="AB674" s="165"/>
      <c r="AC674" s="165"/>
    </row>
    <row r="675" ht="15.75" customHeight="1">
      <c r="F675" s="205"/>
      <c r="V675" s="209"/>
      <c r="W675" s="209"/>
      <c r="Z675" s="165"/>
      <c r="AA675" s="165"/>
      <c r="AB675" s="165"/>
      <c r="AC675" s="165"/>
    </row>
    <row r="676" ht="15.75" customHeight="1">
      <c r="F676" s="205"/>
      <c r="V676" s="209"/>
      <c r="W676" s="209"/>
      <c r="Z676" s="165"/>
      <c r="AA676" s="165"/>
      <c r="AB676" s="165"/>
      <c r="AC676" s="165"/>
    </row>
    <row r="677" ht="15.75" customHeight="1">
      <c r="F677" s="205"/>
      <c r="V677" s="209"/>
      <c r="W677" s="209"/>
      <c r="Z677" s="165"/>
      <c r="AA677" s="165"/>
      <c r="AB677" s="165"/>
      <c r="AC677" s="165"/>
    </row>
    <row r="678" ht="15.75" customHeight="1">
      <c r="F678" s="205"/>
      <c r="V678" s="209"/>
      <c r="W678" s="209"/>
      <c r="Z678" s="165"/>
      <c r="AA678" s="165"/>
      <c r="AB678" s="165"/>
      <c r="AC678" s="165"/>
    </row>
    <row r="679" ht="15.75" customHeight="1">
      <c r="F679" s="205"/>
      <c r="V679" s="209"/>
      <c r="W679" s="209"/>
      <c r="Z679" s="165"/>
      <c r="AA679" s="165"/>
      <c r="AB679" s="165"/>
      <c r="AC679" s="165"/>
    </row>
    <row r="680" ht="15.75" customHeight="1">
      <c r="F680" s="205"/>
      <c r="V680" s="209"/>
      <c r="W680" s="209"/>
      <c r="Z680" s="165"/>
      <c r="AA680" s="165"/>
      <c r="AB680" s="165"/>
      <c r="AC680" s="165"/>
    </row>
    <row r="681" ht="15.75" customHeight="1">
      <c r="F681" s="205"/>
      <c r="V681" s="209"/>
      <c r="W681" s="209"/>
      <c r="Z681" s="165"/>
      <c r="AA681" s="165"/>
      <c r="AB681" s="165"/>
      <c r="AC681" s="165"/>
    </row>
    <row r="682" ht="15.75" customHeight="1">
      <c r="F682" s="205"/>
      <c r="V682" s="209"/>
      <c r="W682" s="209"/>
      <c r="Z682" s="165"/>
      <c r="AA682" s="165"/>
      <c r="AB682" s="165"/>
      <c r="AC682" s="165"/>
    </row>
    <row r="683" ht="15.75" customHeight="1">
      <c r="F683" s="205"/>
      <c r="V683" s="209"/>
      <c r="W683" s="209"/>
      <c r="Z683" s="165"/>
      <c r="AA683" s="165"/>
      <c r="AB683" s="165"/>
      <c r="AC683" s="165"/>
    </row>
    <row r="684" ht="15.75" customHeight="1">
      <c r="F684" s="205"/>
      <c r="V684" s="209"/>
      <c r="W684" s="209"/>
      <c r="Z684" s="165"/>
      <c r="AA684" s="165"/>
      <c r="AB684" s="165"/>
      <c r="AC684" s="165"/>
    </row>
    <row r="685" ht="15.75" customHeight="1">
      <c r="F685" s="205"/>
      <c r="V685" s="209"/>
      <c r="W685" s="209"/>
      <c r="Z685" s="165"/>
      <c r="AA685" s="165"/>
      <c r="AB685" s="165"/>
      <c r="AC685" s="165"/>
    </row>
    <row r="686" ht="15.75" customHeight="1">
      <c r="F686" s="205"/>
      <c r="V686" s="209"/>
      <c r="W686" s="209"/>
      <c r="Z686" s="165"/>
      <c r="AA686" s="165"/>
      <c r="AB686" s="165"/>
      <c r="AC686" s="165"/>
    </row>
    <row r="687" ht="15.75" customHeight="1">
      <c r="F687" s="205"/>
      <c r="V687" s="209"/>
      <c r="W687" s="209"/>
      <c r="Z687" s="165"/>
      <c r="AA687" s="165"/>
      <c r="AB687" s="165"/>
      <c r="AC687" s="165"/>
    </row>
    <row r="688" ht="15.75" customHeight="1">
      <c r="F688" s="205"/>
      <c r="V688" s="209"/>
      <c r="W688" s="209"/>
      <c r="Z688" s="165"/>
      <c r="AA688" s="165"/>
      <c r="AB688" s="165"/>
      <c r="AC688" s="165"/>
    </row>
    <row r="689" ht="15.75" customHeight="1">
      <c r="F689" s="205"/>
      <c r="V689" s="209"/>
      <c r="W689" s="209"/>
      <c r="Z689" s="165"/>
      <c r="AA689" s="165"/>
      <c r="AB689" s="165"/>
      <c r="AC689" s="165"/>
    </row>
    <row r="690" ht="15.75" customHeight="1">
      <c r="F690" s="205"/>
      <c r="V690" s="209"/>
      <c r="W690" s="209"/>
      <c r="Z690" s="165"/>
      <c r="AA690" s="165"/>
      <c r="AB690" s="165"/>
      <c r="AC690" s="165"/>
    </row>
    <row r="691" ht="15.75" customHeight="1">
      <c r="F691" s="205"/>
      <c r="V691" s="209"/>
      <c r="W691" s="209"/>
      <c r="Z691" s="165"/>
      <c r="AA691" s="165"/>
      <c r="AB691" s="165"/>
      <c r="AC691" s="165"/>
    </row>
    <row r="692" ht="15.75" customHeight="1">
      <c r="F692" s="205"/>
      <c r="V692" s="209"/>
      <c r="W692" s="209"/>
      <c r="Z692" s="165"/>
      <c r="AA692" s="165"/>
      <c r="AB692" s="165"/>
      <c r="AC692" s="165"/>
    </row>
    <row r="693" ht="15.75" customHeight="1">
      <c r="F693" s="205"/>
      <c r="V693" s="209"/>
      <c r="W693" s="209"/>
      <c r="Z693" s="165"/>
      <c r="AA693" s="165"/>
      <c r="AB693" s="165"/>
      <c r="AC693" s="165"/>
    </row>
    <row r="694" ht="15.75" customHeight="1">
      <c r="F694" s="205"/>
      <c r="V694" s="209"/>
      <c r="W694" s="209"/>
      <c r="Z694" s="165"/>
      <c r="AA694" s="165"/>
      <c r="AB694" s="165"/>
      <c r="AC694" s="165"/>
    </row>
    <row r="695" ht="15.75" customHeight="1">
      <c r="F695" s="205"/>
      <c r="V695" s="209"/>
      <c r="W695" s="209"/>
      <c r="Z695" s="165"/>
      <c r="AA695" s="165"/>
      <c r="AB695" s="165"/>
      <c r="AC695" s="165"/>
    </row>
    <row r="696" ht="15.75" customHeight="1">
      <c r="F696" s="205"/>
      <c r="V696" s="209"/>
      <c r="W696" s="209"/>
      <c r="Z696" s="165"/>
      <c r="AA696" s="165"/>
      <c r="AB696" s="165"/>
      <c r="AC696" s="165"/>
    </row>
    <row r="697" ht="15.75" customHeight="1">
      <c r="F697" s="205"/>
      <c r="V697" s="209"/>
      <c r="W697" s="209"/>
      <c r="Z697" s="165"/>
      <c r="AA697" s="165"/>
      <c r="AB697" s="165"/>
      <c r="AC697" s="165"/>
    </row>
    <row r="698" ht="15.75" customHeight="1">
      <c r="F698" s="205"/>
      <c r="V698" s="209"/>
      <c r="W698" s="209"/>
      <c r="Z698" s="165"/>
      <c r="AA698" s="165"/>
      <c r="AB698" s="165"/>
      <c r="AC698" s="165"/>
    </row>
    <row r="699" ht="15.75" customHeight="1">
      <c r="F699" s="205"/>
      <c r="V699" s="209"/>
      <c r="W699" s="209"/>
      <c r="Z699" s="165"/>
      <c r="AA699" s="165"/>
      <c r="AB699" s="165"/>
      <c r="AC699" s="165"/>
    </row>
    <row r="700" ht="15.75" customHeight="1">
      <c r="F700" s="205"/>
      <c r="V700" s="209"/>
      <c r="W700" s="209"/>
      <c r="Z700" s="165"/>
      <c r="AA700" s="165"/>
      <c r="AB700" s="165"/>
      <c r="AC700" s="165"/>
    </row>
    <row r="701" ht="15.75" customHeight="1">
      <c r="F701" s="205"/>
      <c r="V701" s="209"/>
      <c r="W701" s="209"/>
      <c r="Z701" s="165"/>
      <c r="AA701" s="165"/>
      <c r="AB701" s="165"/>
      <c r="AC701" s="165"/>
    </row>
    <row r="702" ht="15.75" customHeight="1">
      <c r="F702" s="205"/>
      <c r="V702" s="209"/>
      <c r="W702" s="209"/>
      <c r="Z702" s="165"/>
      <c r="AA702" s="165"/>
      <c r="AB702" s="165"/>
      <c r="AC702" s="165"/>
    </row>
    <row r="703" ht="15.75" customHeight="1">
      <c r="F703" s="205"/>
      <c r="V703" s="209"/>
      <c r="W703" s="209"/>
      <c r="Z703" s="165"/>
      <c r="AA703" s="165"/>
      <c r="AB703" s="165"/>
      <c r="AC703" s="165"/>
    </row>
    <row r="704" ht="15.75" customHeight="1">
      <c r="F704" s="205"/>
      <c r="V704" s="209"/>
      <c r="W704" s="209"/>
      <c r="Z704" s="165"/>
      <c r="AA704" s="165"/>
      <c r="AB704" s="165"/>
      <c r="AC704" s="165"/>
    </row>
    <row r="705" ht="15.75" customHeight="1">
      <c r="F705" s="205"/>
      <c r="V705" s="209"/>
      <c r="W705" s="209"/>
      <c r="Z705" s="165"/>
      <c r="AA705" s="165"/>
      <c r="AB705" s="165"/>
      <c r="AC705" s="165"/>
    </row>
    <row r="706" ht="15.75" customHeight="1">
      <c r="F706" s="205"/>
      <c r="V706" s="209"/>
      <c r="W706" s="209"/>
      <c r="Z706" s="165"/>
      <c r="AA706" s="165"/>
      <c r="AB706" s="165"/>
      <c r="AC706" s="165"/>
    </row>
    <row r="707" ht="15.75" customHeight="1">
      <c r="F707" s="205"/>
      <c r="V707" s="209"/>
      <c r="W707" s="209"/>
      <c r="Z707" s="165"/>
      <c r="AA707" s="165"/>
      <c r="AB707" s="165"/>
      <c r="AC707" s="165"/>
    </row>
    <row r="708" ht="15.75" customHeight="1">
      <c r="F708" s="205"/>
      <c r="V708" s="209"/>
      <c r="W708" s="209"/>
      <c r="Z708" s="165"/>
      <c r="AA708" s="165"/>
      <c r="AB708" s="165"/>
      <c r="AC708" s="165"/>
    </row>
    <row r="709" ht="15.75" customHeight="1">
      <c r="F709" s="205"/>
      <c r="V709" s="209"/>
      <c r="W709" s="209"/>
      <c r="Z709" s="165"/>
      <c r="AA709" s="165"/>
      <c r="AB709" s="165"/>
      <c r="AC709" s="165"/>
    </row>
    <row r="710" ht="15.75" customHeight="1">
      <c r="F710" s="205"/>
      <c r="V710" s="209"/>
      <c r="W710" s="209"/>
      <c r="Z710" s="165"/>
      <c r="AA710" s="165"/>
      <c r="AB710" s="165"/>
      <c r="AC710" s="165"/>
    </row>
    <row r="711" ht="15.75" customHeight="1">
      <c r="F711" s="205"/>
      <c r="V711" s="209"/>
      <c r="W711" s="209"/>
      <c r="Z711" s="165"/>
      <c r="AA711" s="165"/>
      <c r="AB711" s="165"/>
      <c r="AC711" s="165"/>
    </row>
    <row r="712" ht="15.75" customHeight="1">
      <c r="F712" s="205"/>
      <c r="V712" s="209"/>
      <c r="W712" s="209"/>
      <c r="Z712" s="165"/>
      <c r="AA712" s="165"/>
      <c r="AB712" s="165"/>
      <c r="AC712" s="165"/>
    </row>
    <row r="713" ht="15.75" customHeight="1">
      <c r="F713" s="205"/>
      <c r="V713" s="209"/>
      <c r="W713" s="209"/>
      <c r="Z713" s="165"/>
      <c r="AA713" s="165"/>
      <c r="AB713" s="165"/>
      <c r="AC713" s="165"/>
    </row>
    <row r="714" ht="15.75" customHeight="1">
      <c r="F714" s="205"/>
      <c r="V714" s="209"/>
      <c r="W714" s="209"/>
      <c r="Z714" s="165"/>
      <c r="AA714" s="165"/>
      <c r="AB714" s="165"/>
      <c r="AC714" s="165"/>
    </row>
    <row r="715" ht="15.75" customHeight="1">
      <c r="F715" s="205"/>
      <c r="V715" s="209"/>
      <c r="W715" s="209"/>
      <c r="Z715" s="165"/>
      <c r="AA715" s="165"/>
      <c r="AB715" s="165"/>
      <c r="AC715" s="165"/>
    </row>
    <row r="716" ht="15.75" customHeight="1">
      <c r="F716" s="205"/>
      <c r="V716" s="209"/>
      <c r="W716" s="209"/>
      <c r="Z716" s="165"/>
      <c r="AA716" s="165"/>
      <c r="AB716" s="165"/>
      <c r="AC716" s="165"/>
    </row>
    <row r="717" ht="15.75" customHeight="1">
      <c r="F717" s="205"/>
      <c r="V717" s="209"/>
      <c r="W717" s="209"/>
      <c r="Z717" s="165"/>
      <c r="AA717" s="165"/>
      <c r="AB717" s="165"/>
      <c r="AC717" s="165"/>
    </row>
    <row r="718" ht="15.75" customHeight="1">
      <c r="F718" s="205"/>
      <c r="V718" s="209"/>
      <c r="W718" s="209"/>
      <c r="Z718" s="165"/>
      <c r="AA718" s="165"/>
      <c r="AB718" s="165"/>
      <c r="AC718" s="165"/>
    </row>
    <row r="719" ht="15.75" customHeight="1">
      <c r="F719" s="205"/>
      <c r="V719" s="209"/>
      <c r="W719" s="209"/>
      <c r="Z719" s="165"/>
      <c r="AA719" s="165"/>
      <c r="AB719" s="165"/>
      <c r="AC719" s="165"/>
    </row>
    <row r="720" ht="15.75" customHeight="1">
      <c r="F720" s="205"/>
      <c r="V720" s="209"/>
      <c r="W720" s="209"/>
      <c r="Z720" s="165"/>
      <c r="AA720" s="165"/>
      <c r="AB720" s="165"/>
      <c r="AC720" s="165"/>
    </row>
    <row r="721" ht="15.75" customHeight="1">
      <c r="F721" s="205"/>
      <c r="V721" s="209"/>
      <c r="W721" s="209"/>
      <c r="Z721" s="165"/>
      <c r="AA721" s="165"/>
      <c r="AB721" s="165"/>
      <c r="AC721" s="165"/>
    </row>
    <row r="722" ht="15.75" customHeight="1">
      <c r="F722" s="205"/>
      <c r="V722" s="209"/>
      <c r="W722" s="209"/>
      <c r="Z722" s="165"/>
      <c r="AA722" s="165"/>
      <c r="AB722" s="165"/>
      <c r="AC722" s="165"/>
    </row>
    <row r="723" ht="15.75" customHeight="1">
      <c r="F723" s="205"/>
      <c r="V723" s="209"/>
      <c r="W723" s="209"/>
      <c r="Z723" s="165"/>
      <c r="AA723" s="165"/>
      <c r="AB723" s="165"/>
      <c r="AC723" s="165"/>
    </row>
    <row r="724" ht="15.75" customHeight="1">
      <c r="F724" s="205"/>
      <c r="V724" s="209"/>
      <c r="W724" s="209"/>
      <c r="Z724" s="165"/>
      <c r="AA724" s="165"/>
      <c r="AB724" s="165"/>
      <c r="AC724" s="165"/>
    </row>
    <row r="725" ht="15.75" customHeight="1">
      <c r="F725" s="205"/>
      <c r="V725" s="209"/>
      <c r="W725" s="209"/>
      <c r="Z725" s="165"/>
      <c r="AA725" s="165"/>
      <c r="AB725" s="165"/>
      <c r="AC725" s="165"/>
    </row>
    <row r="726" ht="15.75" customHeight="1">
      <c r="F726" s="205"/>
      <c r="V726" s="209"/>
      <c r="W726" s="209"/>
      <c r="Z726" s="165"/>
      <c r="AA726" s="165"/>
      <c r="AB726" s="165"/>
      <c r="AC726" s="165"/>
    </row>
    <row r="727" ht="15.75" customHeight="1">
      <c r="F727" s="205"/>
      <c r="V727" s="209"/>
      <c r="W727" s="209"/>
      <c r="Z727" s="165"/>
      <c r="AA727" s="165"/>
      <c r="AB727" s="165"/>
      <c r="AC727" s="165"/>
    </row>
    <row r="728" ht="15.75" customHeight="1">
      <c r="F728" s="205"/>
      <c r="V728" s="209"/>
      <c r="W728" s="209"/>
      <c r="Z728" s="165"/>
      <c r="AA728" s="165"/>
      <c r="AB728" s="165"/>
      <c r="AC728" s="165"/>
    </row>
    <row r="729" ht="15.75" customHeight="1">
      <c r="F729" s="205"/>
      <c r="V729" s="209"/>
      <c r="W729" s="209"/>
      <c r="Z729" s="165"/>
      <c r="AA729" s="165"/>
      <c r="AB729" s="165"/>
      <c r="AC729" s="165"/>
    </row>
    <row r="730" ht="15.75" customHeight="1">
      <c r="F730" s="205"/>
      <c r="V730" s="209"/>
      <c r="W730" s="209"/>
      <c r="Z730" s="165"/>
      <c r="AA730" s="165"/>
      <c r="AB730" s="165"/>
      <c r="AC730" s="165"/>
    </row>
    <row r="731" ht="15.75" customHeight="1">
      <c r="F731" s="205"/>
      <c r="V731" s="209"/>
      <c r="W731" s="209"/>
      <c r="Z731" s="165"/>
      <c r="AA731" s="165"/>
      <c r="AB731" s="165"/>
      <c r="AC731" s="165"/>
    </row>
    <row r="732" ht="15.75" customHeight="1">
      <c r="F732" s="205"/>
      <c r="V732" s="209"/>
      <c r="W732" s="209"/>
      <c r="Z732" s="165"/>
      <c r="AA732" s="165"/>
      <c r="AB732" s="165"/>
      <c r="AC732" s="165"/>
    </row>
    <row r="733" ht="15.75" customHeight="1">
      <c r="F733" s="205"/>
      <c r="V733" s="209"/>
      <c r="W733" s="209"/>
      <c r="Z733" s="165"/>
      <c r="AA733" s="165"/>
      <c r="AB733" s="165"/>
      <c r="AC733" s="165"/>
    </row>
    <row r="734" ht="15.75" customHeight="1">
      <c r="F734" s="205"/>
      <c r="V734" s="209"/>
      <c r="W734" s="209"/>
      <c r="Z734" s="165"/>
      <c r="AA734" s="165"/>
      <c r="AB734" s="165"/>
      <c r="AC734" s="165"/>
    </row>
    <row r="735" ht="15.75" customHeight="1">
      <c r="F735" s="205"/>
      <c r="V735" s="209"/>
      <c r="W735" s="209"/>
      <c r="Z735" s="165"/>
      <c r="AA735" s="165"/>
      <c r="AB735" s="165"/>
      <c r="AC735" s="165"/>
    </row>
    <row r="736" ht="15.75" customHeight="1">
      <c r="F736" s="205"/>
      <c r="V736" s="209"/>
      <c r="W736" s="209"/>
      <c r="Z736" s="165"/>
      <c r="AA736" s="165"/>
      <c r="AB736" s="165"/>
      <c r="AC736" s="165"/>
    </row>
    <row r="737" ht="15.75" customHeight="1">
      <c r="F737" s="205"/>
      <c r="V737" s="209"/>
      <c r="W737" s="209"/>
      <c r="Z737" s="165"/>
      <c r="AA737" s="165"/>
      <c r="AB737" s="165"/>
      <c r="AC737" s="165"/>
    </row>
    <row r="738" ht="15.75" customHeight="1">
      <c r="F738" s="205"/>
      <c r="V738" s="209"/>
      <c r="W738" s="209"/>
      <c r="Z738" s="165"/>
      <c r="AA738" s="165"/>
      <c r="AB738" s="165"/>
      <c r="AC738" s="165"/>
    </row>
    <row r="739" ht="15.75" customHeight="1">
      <c r="F739" s="205"/>
      <c r="V739" s="209"/>
      <c r="W739" s="209"/>
      <c r="Z739" s="165"/>
      <c r="AA739" s="165"/>
      <c r="AB739" s="165"/>
      <c r="AC739" s="165"/>
    </row>
    <row r="740" ht="15.75" customHeight="1">
      <c r="F740" s="205"/>
      <c r="V740" s="209"/>
      <c r="W740" s="209"/>
      <c r="Z740" s="165"/>
      <c r="AA740" s="165"/>
      <c r="AB740" s="165"/>
      <c r="AC740" s="165"/>
    </row>
    <row r="741" ht="15.75" customHeight="1">
      <c r="F741" s="205"/>
      <c r="V741" s="209"/>
      <c r="W741" s="209"/>
      <c r="Z741" s="165"/>
      <c r="AA741" s="165"/>
      <c r="AB741" s="165"/>
      <c r="AC741" s="165"/>
    </row>
    <row r="742" ht="15.75" customHeight="1">
      <c r="F742" s="205"/>
      <c r="V742" s="209"/>
      <c r="W742" s="209"/>
      <c r="Z742" s="165"/>
      <c r="AA742" s="165"/>
      <c r="AB742" s="165"/>
      <c r="AC742" s="165"/>
    </row>
    <row r="743" ht="15.75" customHeight="1">
      <c r="F743" s="205"/>
      <c r="V743" s="209"/>
      <c r="W743" s="209"/>
      <c r="Z743" s="165"/>
      <c r="AA743" s="165"/>
      <c r="AB743" s="165"/>
      <c r="AC743" s="165"/>
    </row>
    <row r="744" ht="15.75" customHeight="1">
      <c r="F744" s="205"/>
      <c r="V744" s="209"/>
      <c r="W744" s="209"/>
      <c r="Z744" s="165"/>
      <c r="AA744" s="165"/>
      <c r="AB744" s="165"/>
      <c r="AC744" s="165"/>
    </row>
    <row r="745" ht="15.75" customHeight="1">
      <c r="F745" s="205"/>
      <c r="V745" s="209"/>
      <c r="W745" s="209"/>
      <c r="Z745" s="165"/>
      <c r="AA745" s="165"/>
      <c r="AB745" s="165"/>
      <c r="AC745" s="165"/>
    </row>
    <row r="746" ht="15.75" customHeight="1">
      <c r="F746" s="205"/>
      <c r="V746" s="209"/>
      <c r="W746" s="209"/>
      <c r="Z746" s="165"/>
      <c r="AA746" s="165"/>
      <c r="AB746" s="165"/>
      <c r="AC746" s="165"/>
    </row>
    <row r="747" ht="15.75" customHeight="1">
      <c r="F747" s="205"/>
      <c r="V747" s="209"/>
      <c r="W747" s="209"/>
      <c r="Z747" s="165"/>
      <c r="AA747" s="165"/>
      <c r="AB747" s="165"/>
      <c r="AC747" s="165"/>
    </row>
    <row r="748" ht="15.75" customHeight="1">
      <c r="F748" s="205"/>
      <c r="V748" s="209"/>
      <c r="W748" s="209"/>
      <c r="Z748" s="165"/>
      <c r="AA748" s="165"/>
      <c r="AB748" s="165"/>
      <c r="AC748" s="165"/>
    </row>
    <row r="749" ht="15.75" customHeight="1">
      <c r="F749" s="205"/>
      <c r="V749" s="209"/>
      <c r="W749" s="209"/>
      <c r="Z749" s="165"/>
      <c r="AA749" s="165"/>
      <c r="AB749" s="165"/>
      <c r="AC749" s="165"/>
    </row>
    <row r="750" ht="15.75" customHeight="1">
      <c r="F750" s="205"/>
      <c r="V750" s="209"/>
      <c r="W750" s="209"/>
      <c r="Z750" s="165"/>
      <c r="AA750" s="165"/>
      <c r="AB750" s="165"/>
      <c r="AC750" s="165"/>
    </row>
    <row r="751" ht="15.75" customHeight="1">
      <c r="F751" s="205"/>
      <c r="V751" s="209"/>
      <c r="W751" s="209"/>
      <c r="Z751" s="165"/>
      <c r="AA751" s="165"/>
      <c r="AB751" s="165"/>
      <c r="AC751" s="165"/>
    </row>
    <row r="752" ht="15.75" customHeight="1">
      <c r="F752" s="205"/>
      <c r="V752" s="209"/>
      <c r="W752" s="209"/>
      <c r="Z752" s="165"/>
      <c r="AA752" s="165"/>
      <c r="AB752" s="165"/>
      <c r="AC752" s="165"/>
    </row>
    <row r="753" ht="15.75" customHeight="1">
      <c r="F753" s="205"/>
      <c r="V753" s="209"/>
      <c r="W753" s="209"/>
      <c r="Z753" s="165"/>
      <c r="AA753" s="165"/>
      <c r="AB753" s="165"/>
      <c r="AC753" s="165"/>
    </row>
    <row r="754" ht="15.75" customHeight="1">
      <c r="F754" s="205"/>
      <c r="V754" s="209"/>
      <c r="W754" s="209"/>
      <c r="Z754" s="165"/>
      <c r="AA754" s="165"/>
      <c r="AB754" s="165"/>
      <c r="AC754" s="165"/>
    </row>
    <row r="755" ht="15.75" customHeight="1">
      <c r="F755" s="205"/>
      <c r="V755" s="209"/>
      <c r="W755" s="209"/>
      <c r="Z755" s="165"/>
      <c r="AA755" s="165"/>
      <c r="AB755" s="165"/>
      <c r="AC755" s="165"/>
    </row>
    <row r="756" ht="15.75" customHeight="1">
      <c r="F756" s="205"/>
      <c r="V756" s="209"/>
      <c r="W756" s="209"/>
      <c r="Z756" s="165"/>
      <c r="AA756" s="165"/>
      <c r="AB756" s="165"/>
      <c r="AC756" s="165"/>
    </row>
    <row r="757" ht="15.75" customHeight="1">
      <c r="F757" s="205"/>
      <c r="V757" s="209"/>
      <c r="W757" s="209"/>
      <c r="Z757" s="165"/>
      <c r="AA757" s="165"/>
      <c r="AB757" s="165"/>
      <c r="AC757" s="165"/>
    </row>
    <row r="758" ht="15.75" customHeight="1">
      <c r="F758" s="205"/>
      <c r="V758" s="209"/>
      <c r="W758" s="209"/>
      <c r="Z758" s="165"/>
      <c r="AA758" s="165"/>
      <c r="AB758" s="165"/>
      <c r="AC758" s="165"/>
    </row>
    <row r="759" ht="15.75" customHeight="1">
      <c r="F759" s="205"/>
      <c r="V759" s="209"/>
      <c r="W759" s="209"/>
      <c r="Z759" s="165"/>
      <c r="AA759" s="165"/>
      <c r="AB759" s="165"/>
      <c r="AC759" s="165"/>
    </row>
    <row r="760" ht="15.75" customHeight="1">
      <c r="F760" s="205"/>
      <c r="V760" s="209"/>
      <c r="W760" s="209"/>
      <c r="Z760" s="165"/>
      <c r="AA760" s="165"/>
      <c r="AB760" s="165"/>
      <c r="AC760" s="165"/>
    </row>
    <row r="761" ht="15.75" customHeight="1">
      <c r="F761" s="205"/>
      <c r="V761" s="209"/>
      <c r="W761" s="209"/>
      <c r="Z761" s="165"/>
      <c r="AA761" s="165"/>
      <c r="AB761" s="165"/>
      <c r="AC761" s="165"/>
    </row>
    <row r="762" ht="15.75" customHeight="1">
      <c r="F762" s="205"/>
      <c r="V762" s="209"/>
      <c r="W762" s="209"/>
      <c r="Z762" s="165"/>
      <c r="AA762" s="165"/>
      <c r="AB762" s="165"/>
      <c r="AC762" s="165"/>
    </row>
    <row r="763" ht="15.75" customHeight="1">
      <c r="F763" s="205"/>
      <c r="V763" s="209"/>
      <c r="W763" s="209"/>
      <c r="Z763" s="165"/>
      <c r="AA763" s="165"/>
      <c r="AB763" s="165"/>
      <c r="AC763" s="165"/>
    </row>
    <row r="764" ht="15.75" customHeight="1">
      <c r="F764" s="205"/>
      <c r="V764" s="209"/>
      <c r="W764" s="209"/>
      <c r="Z764" s="165"/>
      <c r="AA764" s="165"/>
      <c r="AB764" s="165"/>
      <c r="AC764" s="165"/>
    </row>
    <row r="765" ht="15.75" customHeight="1">
      <c r="F765" s="205"/>
      <c r="V765" s="209"/>
      <c r="W765" s="209"/>
      <c r="Z765" s="165"/>
      <c r="AA765" s="165"/>
      <c r="AB765" s="165"/>
      <c r="AC765" s="165"/>
    </row>
    <row r="766" ht="15.75" customHeight="1">
      <c r="F766" s="205"/>
      <c r="V766" s="209"/>
      <c r="W766" s="209"/>
      <c r="Z766" s="165"/>
      <c r="AA766" s="165"/>
      <c r="AB766" s="165"/>
      <c r="AC766" s="165"/>
    </row>
    <row r="767" ht="15.75" customHeight="1">
      <c r="F767" s="205"/>
      <c r="V767" s="209"/>
      <c r="W767" s="209"/>
      <c r="Z767" s="165"/>
      <c r="AA767" s="165"/>
      <c r="AB767" s="165"/>
      <c r="AC767" s="165"/>
    </row>
    <row r="768" ht="15.75" customHeight="1">
      <c r="F768" s="205"/>
      <c r="V768" s="209"/>
      <c r="W768" s="209"/>
      <c r="Z768" s="165"/>
      <c r="AA768" s="165"/>
      <c r="AB768" s="165"/>
      <c r="AC768" s="165"/>
    </row>
    <row r="769" ht="15.75" customHeight="1">
      <c r="F769" s="205"/>
      <c r="V769" s="209"/>
      <c r="W769" s="209"/>
      <c r="Z769" s="165"/>
      <c r="AA769" s="165"/>
      <c r="AB769" s="165"/>
      <c r="AC769" s="165"/>
    </row>
    <row r="770" ht="15.75" customHeight="1">
      <c r="F770" s="205"/>
      <c r="V770" s="209"/>
      <c r="W770" s="209"/>
      <c r="Z770" s="165"/>
      <c r="AA770" s="165"/>
      <c r="AB770" s="165"/>
      <c r="AC770" s="165"/>
    </row>
    <row r="771" ht="15.75" customHeight="1">
      <c r="F771" s="205"/>
      <c r="V771" s="209"/>
      <c r="W771" s="209"/>
      <c r="Z771" s="165"/>
      <c r="AA771" s="165"/>
      <c r="AB771" s="165"/>
      <c r="AC771" s="165"/>
    </row>
    <row r="772" ht="15.75" customHeight="1">
      <c r="F772" s="205"/>
      <c r="V772" s="209"/>
      <c r="W772" s="209"/>
      <c r="Z772" s="165"/>
      <c r="AA772" s="165"/>
      <c r="AB772" s="165"/>
      <c r="AC772" s="165"/>
    </row>
    <row r="773" ht="15.75" customHeight="1">
      <c r="F773" s="205"/>
      <c r="V773" s="209"/>
      <c r="W773" s="209"/>
      <c r="Z773" s="165"/>
      <c r="AA773" s="165"/>
      <c r="AB773" s="165"/>
      <c r="AC773" s="165"/>
    </row>
    <row r="774" ht="15.75" customHeight="1">
      <c r="F774" s="205"/>
      <c r="V774" s="209"/>
      <c r="W774" s="209"/>
      <c r="Z774" s="165"/>
      <c r="AA774" s="165"/>
      <c r="AB774" s="165"/>
      <c r="AC774" s="165"/>
    </row>
    <row r="775" ht="15.75" customHeight="1">
      <c r="F775" s="205"/>
      <c r="V775" s="209"/>
      <c r="W775" s="209"/>
      <c r="Z775" s="165"/>
      <c r="AA775" s="165"/>
      <c r="AB775" s="165"/>
      <c r="AC775" s="165"/>
    </row>
    <row r="776" ht="15.75" customHeight="1">
      <c r="F776" s="205"/>
      <c r="V776" s="209"/>
      <c r="W776" s="209"/>
      <c r="Z776" s="165"/>
      <c r="AA776" s="165"/>
      <c r="AB776" s="165"/>
      <c r="AC776" s="165"/>
    </row>
    <row r="777" ht="15.75" customHeight="1">
      <c r="F777" s="205"/>
      <c r="V777" s="209"/>
      <c r="W777" s="209"/>
      <c r="Z777" s="165"/>
      <c r="AA777" s="165"/>
      <c r="AB777" s="165"/>
      <c r="AC777" s="165"/>
    </row>
    <row r="778" ht="15.75" customHeight="1">
      <c r="F778" s="205"/>
      <c r="V778" s="209"/>
      <c r="W778" s="209"/>
      <c r="Z778" s="165"/>
      <c r="AA778" s="165"/>
      <c r="AB778" s="165"/>
      <c r="AC778" s="165"/>
    </row>
    <row r="779" ht="15.75" customHeight="1">
      <c r="F779" s="205"/>
      <c r="V779" s="209"/>
      <c r="W779" s="209"/>
      <c r="Z779" s="165"/>
      <c r="AA779" s="165"/>
      <c r="AB779" s="165"/>
      <c r="AC779" s="165"/>
    </row>
    <row r="780" ht="15.75" customHeight="1">
      <c r="F780" s="205"/>
      <c r="V780" s="209"/>
      <c r="W780" s="209"/>
      <c r="Z780" s="165"/>
      <c r="AA780" s="165"/>
      <c r="AB780" s="165"/>
      <c r="AC780" s="165"/>
    </row>
    <row r="781" ht="15.75" customHeight="1">
      <c r="F781" s="205"/>
      <c r="V781" s="209"/>
      <c r="W781" s="209"/>
      <c r="Z781" s="165"/>
      <c r="AA781" s="165"/>
      <c r="AB781" s="165"/>
      <c r="AC781" s="165"/>
    </row>
    <row r="782" ht="15.75" customHeight="1">
      <c r="F782" s="205"/>
      <c r="V782" s="209"/>
      <c r="W782" s="209"/>
      <c r="Z782" s="165"/>
      <c r="AA782" s="165"/>
      <c r="AB782" s="165"/>
      <c r="AC782" s="165"/>
    </row>
    <row r="783" ht="15.75" customHeight="1">
      <c r="F783" s="205"/>
      <c r="V783" s="209"/>
      <c r="W783" s="209"/>
      <c r="Z783" s="165"/>
      <c r="AA783" s="165"/>
      <c r="AB783" s="165"/>
      <c r="AC783" s="165"/>
    </row>
    <row r="784" ht="15.75" customHeight="1">
      <c r="F784" s="205"/>
      <c r="V784" s="209"/>
      <c r="W784" s="209"/>
      <c r="Z784" s="165"/>
      <c r="AA784" s="165"/>
      <c r="AB784" s="165"/>
      <c r="AC784" s="165"/>
    </row>
    <row r="785" ht="15.75" customHeight="1">
      <c r="F785" s="205"/>
      <c r="V785" s="209"/>
      <c r="W785" s="209"/>
      <c r="Z785" s="165"/>
      <c r="AA785" s="165"/>
      <c r="AB785" s="165"/>
      <c r="AC785" s="165"/>
    </row>
    <row r="786" ht="15.75" customHeight="1">
      <c r="F786" s="205"/>
      <c r="V786" s="209"/>
      <c r="W786" s="209"/>
      <c r="Z786" s="165"/>
      <c r="AA786" s="165"/>
      <c r="AB786" s="165"/>
      <c r="AC786" s="165"/>
    </row>
    <row r="787" ht="15.75" customHeight="1">
      <c r="F787" s="205"/>
      <c r="V787" s="209"/>
      <c r="W787" s="209"/>
      <c r="Z787" s="165"/>
      <c r="AA787" s="165"/>
      <c r="AB787" s="165"/>
      <c r="AC787" s="165"/>
    </row>
    <row r="788" ht="15.75" customHeight="1">
      <c r="F788" s="205"/>
      <c r="V788" s="209"/>
      <c r="W788" s="209"/>
      <c r="Z788" s="165"/>
      <c r="AA788" s="165"/>
      <c r="AB788" s="165"/>
      <c r="AC788" s="165"/>
    </row>
    <row r="789" ht="15.75" customHeight="1">
      <c r="F789" s="205"/>
      <c r="V789" s="209"/>
      <c r="W789" s="209"/>
      <c r="Z789" s="165"/>
      <c r="AA789" s="165"/>
      <c r="AB789" s="165"/>
      <c r="AC789" s="165"/>
    </row>
    <row r="790" ht="15.75" customHeight="1">
      <c r="F790" s="205"/>
      <c r="V790" s="209"/>
      <c r="W790" s="209"/>
      <c r="Z790" s="165"/>
      <c r="AA790" s="165"/>
      <c r="AB790" s="165"/>
      <c r="AC790" s="165"/>
    </row>
    <row r="791" ht="15.75" customHeight="1">
      <c r="F791" s="205"/>
      <c r="V791" s="209"/>
      <c r="W791" s="209"/>
      <c r="Z791" s="165"/>
      <c r="AA791" s="165"/>
      <c r="AB791" s="165"/>
      <c r="AC791" s="165"/>
    </row>
    <row r="792" ht="15.75" customHeight="1">
      <c r="F792" s="205"/>
      <c r="V792" s="209"/>
      <c r="W792" s="209"/>
      <c r="Z792" s="165"/>
      <c r="AA792" s="165"/>
      <c r="AB792" s="165"/>
      <c r="AC792" s="165"/>
    </row>
    <row r="793" ht="15.75" customHeight="1">
      <c r="F793" s="205"/>
      <c r="V793" s="209"/>
      <c r="W793" s="209"/>
      <c r="Z793" s="165"/>
      <c r="AA793" s="165"/>
      <c r="AB793" s="165"/>
      <c r="AC793" s="165"/>
    </row>
    <row r="794" ht="15.75" customHeight="1">
      <c r="F794" s="205"/>
      <c r="V794" s="209"/>
      <c r="W794" s="209"/>
      <c r="Z794" s="165"/>
      <c r="AA794" s="165"/>
      <c r="AB794" s="165"/>
      <c r="AC794" s="165"/>
    </row>
    <row r="795" ht="15.75" customHeight="1">
      <c r="F795" s="205"/>
      <c r="V795" s="209"/>
      <c r="W795" s="209"/>
      <c r="Z795" s="165"/>
      <c r="AA795" s="165"/>
      <c r="AB795" s="165"/>
      <c r="AC795" s="165"/>
    </row>
    <row r="796" ht="15.75" customHeight="1">
      <c r="F796" s="205"/>
      <c r="V796" s="209"/>
      <c r="W796" s="209"/>
      <c r="Z796" s="165"/>
      <c r="AA796" s="165"/>
      <c r="AB796" s="165"/>
      <c r="AC796" s="165"/>
    </row>
    <row r="797" ht="15.75" customHeight="1">
      <c r="F797" s="205"/>
      <c r="V797" s="209"/>
      <c r="W797" s="209"/>
      <c r="Z797" s="165"/>
      <c r="AA797" s="165"/>
      <c r="AB797" s="165"/>
      <c r="AC797" s="165"/>
    </row>
    <row r="798" ht="15.75" customHeight="1">
      <c r="F798" s="205"/>
      <c r="V798" s="209"/>
      <c r="W798" s="209"/>
      <c r="Z798" s="165"/>
      <c r="AA798" s="165"/>
      <c r="AB798" s="165"/>
      <c r="AC798" s="165"/>
    </row>
    <row r="799" ht="15.75" customHeight="1">
      <c r="F799" s="205"/>
      <c r="V799" s="209"/>
      <c r="W799" s="209"/>
      <c r="Z799" s="165"/>
      <c r="AA799" s="165"/>
      <c r="AB799" s="165"/>
      <c r="AC799" s="165"/>
    </row>
    <row r="800" ht="15.75" customHeight="1">
      <c r="F800" s="205"/>
      <c r="V800" s="209"/>
      <c r="W800" s="209"/>
      <c r="Z800" s="165"/>
      <c r="AA800" s="165"/>
      <c r="AB800" s="165"/>
      <c r="AC800" s="165"/>
    </row>
    <row r="801" ht="15.75" customHeight="1">
      <c r="F801" s="205"/>
      <c r="V801" s="209"/>
      <c r="W801" s="209"/>
      <c r="Z801" s="165"/>
      <c r="AA801" s="165"/>
      <c r="AB801" s="165"/>
      <c r="AC801" s="165"/>
    </row>
    <row r="802" ht="15.75" customHeight="1">
      <c r="F802" s="205"/>
      <c r="V802" s="209"/>
      <c r="W802" s="209"/>
      <c r="Z802" s="165"/>
      <c r="AA802" s="165"/>
      <c r="AB802" s="165"/>
      <c r="AC802" s="165"/>
    </row>
    <row r="803" ht="15.75" customHeight="1">
      <c r="F803" s="205"/>
      <c r="V803" s="209"/>
      <c r="W803" s="209"/>
      <c r="Z803" s="165"/>
      <c r="AA803" s="165"/>
      <c r="AB803" s="165"/>
      <c r="AC803" s="165"/>
    </row>
    <row r="804" ht="15.75" customHeight="1">
      <c r="F804" s="205"/>
      <c r="V804" s="209"/>
      <c r="W804" s="209"/>
    </row>
    <row r="805" ht="15.75" customHeight="1">
      <c r="F805" s="205"/>
      <c r="V805" s="209"/>
      <c r="W805" s="209"/>
    </row>
    <row r="806" ht="15.75" customHeight="1">
      <c r="F806" s="205"/>
      <c r="V806" s="209"/>
      <c r="W806" s="209"/>
    </row>
    <row r="807" ht="15.75" customHeight="1">
      <c r="F807" s="205"/>
      <c r="V807" s="209"/>
      <c r="W807" s="209"/>
    </row>
    <row r="808" ht="15.75" customHeight="1">
      <c r="F808" s="205"/>
      <c r="V808" s="209"/>
      <c r="W808" s="209"/>
    </row>
    <row r="809" ht="15.75" customHeight="1">
      <c r="F809" s="205"/>
      <c r="V809" s="209"/>
      <c r="W809" s="209"/>
    </row>
    <row r="810" ht="15.75" customHeight="1">
      <c r="F810" s="205"/>
      <c r="V810" s="209"/>
      <c r="W810" s="209"/>
    </row>
    <row r="811" ht="15.75" customHeight="1">
      <c r="F811" s="205"/>
      <c r="V811" s="209"/>
      <c r="W811" s="209"/>
    </row>
    <row r="812" ht="15.75" customHeight="1">
      <c r="F812" s="205"/>
      <c r="V812" s="209"/>
      <c r="W812" s="209"/>
    </row>
    <row r="813" ht="15.75" customHeight="1">
      <c r="F813" s="205"/>
      <c r="V813" s="209"/>
      <c r="W813" s="209"/>
    </row>
    <row r="814" ht="15.75" customHeight="1">
      <c r="F814" s="205"/>
      <c r="V814" s="209"/>
      <c r="W814" s="209"/>
    </row>
    <row r="815" ht="15.75" customHeight="1">
      <c r="F815" s="205"/>
      <c r="V815" s="209"/>
      <c r="W815" s="209"/>
    </row>
    <row r="816" ht="15.75" customHeight="1">
      <c r="F816" s="205"/>
      <c r="V816" s="209"/>
      <c r="W816" s="209"/>
    </row>
    <row r="817" ht="15.75" customHeight="1">
      <c r="F817" s="205"/>
      <c r="V817" s="209"/>
      <c r="W817" s="209"/>
    </row>
    <row r="818" ht="15.75" customHeight="1">
      <c r="F818" s="205"/>
      <c r="V818" s="209"/>
      <c r="W818" s="209"/>
    </row>
    <row r="819" ht="15.75" customHeight="1">
      <c r="F819" s="205"/>
      <c r="V819" s="209"/>
      <c r="W819" s="209"/>
    </row>
    <row r="820" ht="15.75" customHeight="1">
      <c r="F820" s="205"/>
      <c r="V820" s="209"/>
      <c r="W820" s="209"/>
    </row>
    <row r="821" ht="15.75" customHeight="1">
      <c r="F821" s="205"/>
      <c r="V821" s="209"/>
      <c r="W821" s="209"/>
    </row>
    <row r="822" ht="15.75" customHeight="1">
      <c r="F822" s="205"/>
      <c r="V822" s="209"/>
      <c r="W822" s="209"/>
    </row>
    <row r="823" ht="15.75" customHeight="1">
      <c r="F823" s="205"/>
      <c r="V823" s="209"/>
      <c r="W823" s="209"/>
    </row>
    <row r="824" ht="15.75" customHeight="1">
      <c r="F824" s="205"/>
      <c r="V824" s="209"/>
      <c r="W824" s="209"/>
    </row>
    <row r="825" ht="15.75" customHeight="1">
      <c r="F825" s="205"/>
      <c r="V825" s="209"/>
      <c r="W825" s="209"/>
    </row>
    <row r="826" ht="15.75" customHeight="1">
      <c r="F826" s="205"/>
      <c r="V826" s="209"/>
      <c r="W826" s="209"/>
    </row>
    <row r="827" ht="15.75" customHeight="1">
      <c r="F827" s="205"/>
      <c r="V827" s="209"/>
      <c r="W827" s="209"/>
    </row>
    <row r="828" ht="15.75" customHeight="1">
      <c r="F828" s="205"/>
      <c r="V828" s="209"/>
      <c r="W828" s="209"/>
    </row>
    <row r="829" ht="15.75" customHeight="1">
      <c r="F829" s="205"/>
      <c r="V829" s="209"/>
      <c r="W829" s="209"/>
    </row>
    <row r="830" ht="15.75" customHeight="1">
      <c r="F830" s="205"/>
      <c r="V830" s="209"/>
      <c r="W830" s="209"/>
    </row>
    <row r="831" ht="15.75" customHeight="1">
      <c r="F831" s="205"/>
      <c r="V831" s="209"/>
      <c r="W831" s="209"/>
    </row>
    <row r="832" ht="15.75" customHeight="1">
      <c r="F832" s="205"/>
      <c r="V832" s="209"/>
      <c r="W832" s="209"/>
    </row>
    <row r="833" ht="15.75" customHeight="1">
      <c r="F833" s="205"/>
      <c r="V833" s="209"/>
      <c r="W833" s="209"/>
    </row>
    <row r="834" ht="15.75" customHeight="1">
      <c r="F834" s="205"/>
      <c r="V834" s="209"/>
      <c r="W834" s="209"/>
    </row>
    <row r="835" ht="15.75" customHeight="1">
      <c r="F835" s="205"/>
      <c r="V835" s="209"/>
      <c r="W835" s="209"/>
    </row>
    <row r="836" ht="15.75" customHeight="1">
      <c r="F836" s="205"/>
      <c r="V836" s="209"/>
      <c r="W836" s="209"/>
    </row>
    <row r="837" ht="15.75" customHeight="1">
      <c r="F837" s="205"/>
      <c r="V837" s="209"/>
      <c r="W837" s="209"/>
    </row>
    <row r="838" ht="15.75" customHeight="1">
      <c r="F838" s="205"/>
      <c r="V838" s="209"/>
      <c r="W838" s="209"/>
    </row>
    <row r="839" ht="15.75" customHeight="1">
      <c r="F839" s="205"/>
      <c r="V839" s="209"/>
      <c r="W839" s="209"/>
    </row>
    <row r="840" ht="15.75" customHeight="1">
      <c r="F840" s="205"/>
      <c r="V840" s="209"/>
      <c r="W840" s="209"/>
    </row>
    <row r="841" ht="15.75" customHeight="1">
      <c r="F841" s="205"/>
      <c r="V841" s="209"/>
      <c r="W841" s="209"/>
    </row>
    <row r="842" ht="15.75" customHeight="1">
      <c r="F842" s="205"/>
      <c r="V842" s="209"/>
      <c r="W842" s="209"/>
    </row>
    <row r="843" ht="15.75" customHeight="1">
      <c r="F843" s="205"/>
      <c r="V843" s="209"/>
      <c r="W843" s="209"/>
    </row>
    <row r="844" ht="15.75" customHeight="1">
      <c r="F844" s="205"/>
      <c r="V844" s="209"/>
      <c r="W844" s="209"/>
    </row>
    <row r="845" ht="15.75" customHeight="1">
      <c r="F845" s="205"/>
      <c r="V845" s="209"/>
      <c r="W845" s="209"/>
    </row>
    <row r="846" ht="15.75" customHeight="1">
      <c r="F846" s="205"/>
      <c r="V846" s="209"/>
      <c r="W846" s="209"/>
    </row>
    <row r="847" ht="15.75" customHeight="1">
      <c r="F847" s="205"/>
      <c r="V847" s="209"/>
      <c r="W847" s="209"/>
    </row>
    <row r="848" ht="15.75" customHeight="1">
      <c r="F848" s="205"/>
      <c r="V848" s="209"/>
      <c r="W848" s="209"/>
    </row>
    <row r="849" ht="15.75" customHeight="1">
      <c r="F849" s="205"/>
      <c r="V849" s="209"/>
      <c r="W849" s="209"/>
    </row>
    <row r="850" ht="15.75" customHeight="1">
      <c r="F850" s="205"/>
      <c r="V850" s="209"/>
      <c r="W850" s="209"/>
    </row>
    <row r="851" ht="15.75" customHeight="1">
      <c r="F851" s="205"/>
      <c r="V851" s="209"/>
      <c r="W851" s="209"/>
    </row>
    <row r="852" ht="15.75" customHeight="1">
      <c r="F852" s="205"/>
      <c r="V852" s="209"/>
      <c r="W852" s="209"/>
    </row>
    <row r="853" ht="15.75" customHeight="1">
      <c r="F853" s="205"/>
      <c r="V853" s="209"/>
      <c r="W853" s="209"/>
    </row>
    <row r="854" ht="15.75" customHeight="1">
      <c r="F854" s="205"/>
      <c r="V854" s="209"/>
      <c r="W854" s="209"/>
    </row>
    <row r="855" ht="15.75" customHeight="1">
      <c r="F855" s="205"/>
      <c r="V855" s="209"/>
      <c r="W855" s="209"/>
    </row>
    <row r="856" ht="15.75" customHeight="1">
      <c r="F856" s="205"/>
      <c r="V856" s="209"/>
      <c r="W856" s="209"/>
    </row>
    <row r="857" ht="15.75" customHeight="1">
      <c r="F857" s="205"/>
      <c r="V857" s="209"/>
      <c r="W857" s="209"/>
    </row>
    <row r="858" ht="15.75" customHeight="1">
      <c r="F858" s="205"/>
      <c r="V858" s="209"/>
      <c r="W858" s="209"/>
    </row>
    <row r="859" ht="15.75" customHeight="1">
      <c r="F859" s="205"/>
      <c r="V859" s="209"/>
      <c r="W859" s="209"/>
    </row>
    <row r="860" ht="15.75" customHeight="1">
      <c r="F860" s="205"/>
      <c r="V860" s="209"/>
      <c r="W860" s="209"/>
    </row>
    <row r="861" ht="15.75" customHeight="1">
      <c r="F861" s="205"/>
      <c r="V861" s="209"/>
      <c r="W861" s="209"/>
    </row>
    <row r="862" ht="15.75" customHeight="1">
      <c r="F862" s="205"/>
      <c r="V862" s="209"/>
      <c r="W862" s="209"/>
    </row>
    <row r="863" ht="15.75" customHeight="1">
      <c r="F863" s="205"/>
      <c r="V863" s="209"/>
      <c r="W863" s="209"/>
    </row>
    <row r="864" ht="15.75" customHeight="1">
      <c r="F864" s="205"/>
      <c r="V864" s="209"/>
      <c r="W864" s="209"/>
    </row>
    <row r="865" ht="15.75" customHeight="1">
      <c r="F865" s="205"/>
      <c r="V865" s="209"/>
      <c r="W865" s="209"/>
    </row>
    <row r="866" ht="15.75" customHeight="1">
      <c r="F866" s="205"/>
      <c r="V866" s="209"/>
      <c r="W866" s="209"/>
    </row>
    <row r="867" ht="15.75" customHeight="1">
      <c r="F867" s="205"/>
      <c r="V867" s="209"/>
      <c r="W867" s="209"/>
    </row>
    <row r="868" ht="15.75" customHeight="1">
      <c r="F868" s="205"/>
      <c r="V868" s="209"/>
      <c r="W868" s="209"/>
    </row>
    <row r="869" ht="15.75" customHeight="1">
      <c r="F869" s="205"/>
      <c r="V869" s="209"/>
      <c r="W869" s="209"/>
    </row>
    <row r="870" ht="15.75" customHeight="1">
      <c r="F870" s="205"/>
      <c r="V870" s="209"/>
      <c r="W870" s="209"/>
    </row>
    <row r="871" ht="15.75" customHeight="1">
      <c r="F871" s="205"/>
      <c r="V871" s="209"/>
      <c r="W871" s="209"/>
    </row>
    <row r="872" ht="15.75" customHeight="1">
      <c r="F872" s="205"/>
      <c r="V872" s="209"/>
      <c r="W872" s="209"/>
    </row>
    <row r="873" ht="15.75" customHeight="1">
      <c r="F873" s="205"/>
      <c r="V873" s="209"/>
      <c r="W873" s="209"/>
    </row>
    <row r="874" ht="15.75" customHeight="1">
      <c r="F874" s="205"/>
      <c r="V874" s="209"/>
      <c r="W874" s="209"/>
    </row>
    <row r="875" ht="15.75" customHeight="1">
      <c r="F875" s="205"/>
      <c r="V875" s="209"/>
      <c r="W875" s="209"/>
    </row>
    <row r="876" ht="15.75" customHeight="1">
      <c r="F876" s="205"/>
      <c r="V876" s="209"/>
      <c r="W876" s="209"/>
    </row>
    <row r="877" ht="15.75" customHeight="1">
      <c r="F877" s="205"/>
      <c r="V877" s="209"/>
      <c r="W877" s="209"/>
    </row>
    <row r="878" ht="15.75" customHeight="1">
      <c r="F878" s="205"/>
      <c r="V878" s="209"/>
      <c r="W878" s="209"/>
    </row>
    <row r="879" ht="15.75" customHeight="1">
      <c r="F879" s="205"/>
      <c r="V879" s="209"/>
      <c r="W879" s="209"/>
    </row>
    <row r="880" ht="15.75" customHeight="1">
      <c r="F880" s="205"/>
      <c r="V880" s="209"/>
      <c r="W880" s="209"/>
    </row>
    <row r="881" ht="15.75" customHeight="1">
      <c r="F881" s="205"/>
      <c r="V881" s="209"/>
      <c r="W881" s="209"/>
    </row>
    <row r="882" ht="15.75" customHeight="1">
      <c r="F882" s="205"/>
      <c r="V882" s="209"/>
      <c r="W882" s="209"/>
    </row>
    <row r="883" ht="15.75" customHeight="1">
      <c r="F883" s="205"/>
      <c r="V883" s="209"/>
      <c r="W883" s="209"/>
    </row>
    <row r="884" ht="15.75" customHeight="1">
      <c r="F884" s="205"/>
      <c r="V884" s="209"/>
      <c r="W884" s="209"/>
    </row>
    <row r="885" ht="15.75" customHeight="1">
      <c r="F885" s="205"/>
      <c r="V885" s="209"/>
      <c r="W885" s="209"/>
    </row>
    <row r="886" ht="15.75" customHeight="1">
      <c r="F886" s="205"/>
      <c r="V886" s="209"/>
      <c r="W886" s="209"/>
    </row>
    <row r="887" ht="15.75" customHeight="1">
      <c r="F887" s="205"/>
      <c r="V887" s="209"/>
      <c r="W887" s="209"/>
    </row>
    <row r="888" ht="15.75" customHeight="1">
      <c r="F888" s="205"/>
      <c r="V888" s="209"/>
      <c r="W888" s="209"/>
    </row>
    <row r="889" ht="15.75" customHeight="1">
      <c r="F889" s="205"/>
      <c r="V889" s="209"/>
      <c r="W889" s="209"/>
    </row>
    <row r="890" ht="15.75" customHeight="1">
      <c r="F890" s="205"/>
      <c r="V890" s="209"/>
      <c r="W890" s="209"/>
    </row>
    <row r="891" ht="15.75" customHeight="1">
      <c r="F891" s="205"/>
      <c r="V891" s="209"/>
      <c r="W891" s="209"/>
    </row>
    <row r="892" ht="15.75" customHeight="1">
      <c r="F892" s="205"/>
      <c r="V892" s="209"/>
      <c r="W892" s="209"/>
    </row>
    <row r="893" ht="15.75" customHeight="1">
      <c r="F893" s="205"/>
      <c r="V893" s="209"/>
      <c r="W893" s="209"/>
    </row>
    <row r="894" ht="15.75" customHeight="1">
      <c r="F894" s="205"/>
      <c r="V894" s="209"/>
      <c r="W894" s="209"/>
    </row>
    <row r="895" ht="15.75" customHeight="1">
      <c r="F895" s="205"/>
      <c r="V895" s="209"/>
      <c r="W895" s="209"/>
    </row>
    <row r="896" ht="15.75" customHeight="1">
      <c r="F896" s="205"/>
      <c r="V896" s="209"/>
      <c r="W896" s="209"/>
    </row>
    <row r="897" ht="15.75" customHeight="1">
      <c r="F897" s="205"/>
      <c r="V897" s="209"/>
      <c r="W897" s="209"/>
    </row>
    <row r="898" ht="15.75" customHeight="1">
      <c r="F898" s="205"/>
      <c r="V898" s="209"/>
      <c r="W898" s="209"/>
    </row>
    <row r="899" ht="15.75" customHeight="1">
      <c r="F899" s="205"/>
      <c r="V899" s="209"/>
      <c r="W899" s="209"/>
    </row>
    <row r="900" ht="15.75" customHeight="1">
      <c r="F900" s="205"/>
      <c r="V900" s="209"/>
      <c r="W900" s="209"/>
    </row>
    <row r="901" ht="15.75" customHeight="1">
      <c r="F901" s="205"/>
      <c r="V901" s="209"/>
      <c r="W901" s="209"/>
    </row>
    <row r="902" ht="15.75" customHeight="1">
      <c r="F902" s="205"/>
      <c r="V902" s="209"/>
      <c r="W902" s="209"/>
    </row>
    <row r="903" ht="15.75" customHeight="1">
      <c r="F903" s="205"/>
      <c r="V903" s="209"/>
      <c r="W903" s="209"/>
    </row>
    <row r="904" ht="15.75" customHeight="1">
      <c r="F904" s="205"/>
      <c r="V904" s="209"/>
      <c r="W904" s="209"/>
    </row>
    <row r="905" ht="15.75" customHeight="1">
      <c r="F905" s="205"/>
      <c r="V905" s="209"/>
      <c r="W905" s="209"/>
    </row>
    <row r="906" ht="15.75" customHeight="1">
      <c r="F906" s="205"/>
      <c r="V906" s="209"/>
      <c r="W906" s="209"/>
    </row>
    <row r="907" ht="15.75" customHeight="1">
      <c r="F907" s="205"/>
      <c r="V907" s="209"/>
      <c r="W907" s="209"/>
    </row>
    <row r="908" ht="15.75" customHeight="1">
      <c r="F908" s="205"/>
      <c r="V908" s="209"/>
      <c r="W908" s="209"/>
    </row>
    <row r="909" ht="15.75" customHeight="1">
      <c r="F909" s="205"/>
      <c r="V909" s="209"/>
      <c r="W909" s="209"/>
    </row>
    <row r="910" ht="15.75" customHeight="1">
      <c r="F910" s="205"/>
      <c r="V910" s="209"/>
      <c r="W910" s="209"/>
    </row>
    <row r="911" ht="15.75" customHeight="1">
      <c r="F911" s="205"/>
      <c r="V911" s="209"/>
      <c r="W911" s="209"/>
    </row>
    <row r="912" ht="15.75" customHeight="1">
      <c r="F912" s="205"/>
      <c r="V912" s="209"/>
      <c r="W912" s="209"/>
    </row>
    <row r="913" ht="15.75" customHeight="1">
      <c r="F913" s="205"/>
      <c r="V913" s="209"/>
      <c r="W913" s="209"/>
    </row>
    <row r="914" ht="15.75" customHeight="1">
      <c r="F914" s="205"/>
      <c r="V914" s="209"/>
      <c r="W914" s="209"/>
    </row>
    <row r="915" ht="15.75" customHeight="1">
      <c r="F915" s="205"/>
      <c r="V915" s="209"/>
      <c r="W915" s="209"/>
    </row>
    <row r="916" ht="15.75" customHeight="1">
      <c r="F916" s="205"/>
      <c r="V916" s="209"/>
      <c r="W916" s="209"/>
    </row>
    <row r="917" ht="15.75" customHeight="1">
      <c r="F917" s="205"/>
      <c r="V917" s="209"/>
      <c r="W917" s="209"/>
    </row>
    <row r="918" ht="15.75" customHeight="1">
      <c r="F918" s="205"/>
      <c r="V918" s="209"/>
      <c r="W918" s="209"/>
    </row>
    <row r="919" ht="15.75" customHeight="1">
      <c r="F919" s="205"/>
      <c r="V919" s="209"/>
      <c r="W919" s="209"/>
    </row>
    <row r="920" ht="15.75" customHeight="1">
      <c r="F920" s="205"/>
      <c r="V920" s="209"/>
      <c r="W920" s="209"/>
    </row>
    <row r="921" ht="15.75" customHeight="1">
      <c r="F921" s="205"/>
      <c r="V921" s="209"/>
      <c r="W921" s="209"/>
    </row>
    <row r="922" ht="15.75" customHeight="1">
      <c r="F922" s="205"/>
      <c r="V922" s="209"/>
      <c r="W922" s="209"/>
    </row>
    <row r="923" ht="15.75" customHeight="1">
      <c r="F923" s="205"/>
      <c r="V923" s="209"/>
      <c r="W923" s="209"/>
    </row>
    <row r="924" ht="15.75" customHeight="1">
      <c r="F924" s="205"/>
      <c r="V924" s="209"/>
      <c r="W924" s="209"/>
    </row>
    <row r="925" ht="15.75" customHeight="1">
      <c r="F925" s="205"/>
      <c r="V925" s="209"/>
      <c r="W925" s="209"/>
    </row>
    <row r="926" ht="15.75" customHeight="1">
      <c r="F926" s="205"/>
      <c r="V926" s="209"/>
      <c r="W926" s="209"/>
    </row>
    <row r="927" ht="15.75" customHeight="1">
      <c r="F927" s="205"/>
      <c r="V927" s="209"/>
      <c r="W927" s="209"/>
    </row>
    <row r="928" ht="15.75" customHeight="1">
      <c r="F928" s="205"/>
      <c r="V928" s="209"/>
      <c r="W928" s="209"/>
    </row>
    <row r="929" ht="15.75" customHeight="1">
      <c r="F929" s="205"/>
      <c r="V929" s="209"/>
      <c r="W929" s="209"/>
    </row>
    <row r="930" ht="15.75" customHeight="1">
      <c r="F930" s="205"/>
      <c r="V930" s="209"/>
      <c r="W930" s="209"/>
    </row>
    <row r="931" ht="15.75" customHeight="1">
      <c r="F931" s="205"/>
      <c r="V931" s="209"/>
      <c r="W931" s="209"/>
    </row>
    <row r="932" ht="15.75" customHeight="1">
      <c r="F932" s="205"/>
      <c r="V932" s="209"/>
      <c r="W932" s="209"/>
    </row>
    <row r="933" ht="15.75" customHeight="1">
      <c r="F933" s="205"/>
      <c r="V933" s="209"/>
      <c r="W933" s="209"/>
    </row>
    <row r="934" ht="15.75" customHeight="1">
      <c r="F934" s="205"/>
      <c r="V934" s="209"/>
      <c r="W934" s="209"/>
    </row>
    <row r="935" ht="15.75" customHeight="1">
      <c r="F935" s="205"/>
      <c r="V935" s="209"/>
      <c r="W935" s="209"/>
    </row>
    <row r="936" ht="15.75" customHeight="1">
      <c r="F936" s="205"/>
      <c r="V936" s="209"/>
      <c r="W936" s="209"/>
    </row>
    <row r="937" ht="15.75" customHeight="1">
      <c r="F937" s="205"/>
      <c r="V937" s="209"/>
      <c r="W937" s="209"/>
    </row>
    <row r="938" ht="15.75" customHeight="1">
      <c r="F938" s="205"/>
      <c r="V938" s="209"/>
      <c r="W938" s="209"/>
    </row>
    <row r="939" ht="15.75" customHeight="1">
      <c r="F939" s="205"/>
      <c r="V939" s="209"/>
      <c r="W939" s="209"/>
    </row>
    <row r="940" ht="15.75" customHeight="1">
      <c r="F940" s="205"/>
      <c r="V940" s="209"/>
      <c r="W940" s="209"/>
    </row>
    <row r="941" ht="15.75" customHeight="1">
      <c r="F941" s="205"/>
      <c r="V941" s="209"/>
      <c r="W941" s="209"/>
    </row>
    <row r="942" ht="15.75" customHeight="1">
      <c r="F942" s="205"/>
      <c r="V942" s="209"/>
      <c r="W942" s="209"/>
    </row>
    <row r="943" ht="15.75" customHeight="1">
      <c r="F943" s="205"/>
      <c r="V943" s="209"/>
      <c r="W943" s="209"/>
    </row>
    <row r="944" ht="15.75" customHeight="1">
      <c r="F944" s="205"/>
      <c r="V944" s="209"/>
      <c r="W944" s="209"/>
    </row>
    <row r="945" ht="15.75" customHeight="1">
      <c r="F945" s="205"/>
      <c r="V945" s="209"/>
      <c r="W945" s="209"/>
    </row>
    <row r="946" ht="15.75" customHeight="1">
      <c r="F946" s="205"/>
      <c r="V946" s="209"/>
      <c r="W946" s="209"/>
    </row>
    <row r="947" ht="15.75" customHeight="1">
      <c r="F947" s="205"/>
      <c r="V947" s="209"/>
      <c r="W947" s="209"/>
    </row>
    <row r="948" ht="15.75" customHeight="1">
      <c r="F948" s="205"/>
      <c r="V948" s="209"/>
      <c r="W948" s="209"/>
    </row>
    <row r="949" ht="15.75" customHeight="1">
      <c r="F949" s="205"/>
      <c r="V949" s="209"/>
      <c r="W949" s="209"/>
    </row>
    <row r="950" ht="15.75" customHeight="1">
      <c r="F950" s="205"/>
      <c r="V950" s="209"/>
      <c r="W950" s="209"/>
    </row>
    <row r="951" ht="15.75" customHeight="1">
      <c r="F951" s="205"/>
      <c r="V951" s="209"/>
      <c r="W951" s="209"/>
    </row>
    <row r="952" ht="15.75" customHeight="1">
      <c r="F952" s="205"/>
      <c r="V952" s="209"/>
      <c r="W952" s="209"/>
    </row>
    <row r="953" ht="15.75" customHeight="1">
      <c r="F953" s="205"/>
      <c r="V953" s="209"/>
      <c r="W953" s="209"/>
    </row>
    <row r="954" ht="15.75" customHeight="1">
      <c r="F954" s="205"/>
      <c r="V954" s="209"/>
      <c r="W954" s="209"/>
    </row>
    <row r="955" ht="15.75" customHeight="1">
      <c r="F955" s="205"/>
      <c r="V955" s="209"/>
      <c r="W955" s="209"/>
    </row>
    <row r="956" ht="15.75" customHeight="1">
      <c r="F956" s="205"/>
      <c r="V956" s="209"/>
      <c r="W956" s="209"/>
    </row>
    <row r="957" ht="15.75" customHeight="1">
      <c r="F957" s="205"/>
      <c r="V957" s="209"/>
      <c r="W957" s="209"/>
    </row>
    <row r="958" ht="15.75" customHeight="1">
      <c r="F958" s="205"/>
      <c r="V958" s="209"/>
      <c r="W958" s="209"/>
    </row>
    <row r="959" ht="15.75" customHeight="1">
      <c r="F959" s="205"/>
      <c r="V959" s="209"/>
      <c r="W959" s="209"/>
    </row>
    <row r="960" ht="15.75" customHeight="1">
      <c r="F960" s="205"/>
      <c r="V960" s="209"/>
      <c r="W960" s="209"/>
    </row>
    <row r="961" ht="15.75" customHeight="1">
      <c r="F961" s="205"/>
      <c r="V961" s="209"/>
      <c r="W961" s="209"/>
    </row>
    <row r="962" ht="15.75" customHeight="1">
      <c r="F962" s="205"/>
      <c r="V962" s="209"/>
      <c r="W962" s="209"/>
    </row>
    <row r="963" ht="15.75" customHeight="1">
      <c r="F963" s="205"/>
      <c r="V963" s="209"/>
      <c r="W963" s="209"/>
    </row>
    <row r="964" ht="15.75" customHeight="1">
      <c r="F964" s="205"/>
      <c r="V964" s="209"/>
      <c r="W964" s="209"/>
    </row>
    <row r="965" ht="15.75" customHeight="1">
      <c r="F965" s="205"/>
      <c r="V965" s="209"/>
      <c r="W965" s="209"/>
    </row>
    <row r="966" ht="15.75" customHeight="1">
      <c r="F966" s="205"/>
      <c r="V966" s="209"/>
      <c r="W966" s="209"/>
    </row>
    <row r="967" ht="15.75" customHeight="1">
      <c r="F967" s="205"/>
      <c r="V967" s="209"/>
      <c r="W967" s="209"/>
    </row>
    <row r="968" ht="15.75" customHeight="1">
      <c r="F968" s="205"/>
      <c r="V968" s="209"/>
      <c r="W968" s="209"/>
    </row>
    <row r="969" ht="15.75" customHeight="1">
      <c r="F969" s="205"/>
      <c r="V969" s="209"/>
      <c r="W969" s="209"/>
    </row>
    <row r="970" ht="15.75" customHeight="1">
      <c r="F970" s="205"/>
      <c r="V970" s="209"/>
      <c r="W970" s="209"/>
    </row>
    <row r="971" ht="15.75" customHeight="1">
      <c r="F971" s="205"/>
      <c r="V971" s="209"/>
      <c r="W971" s="209"/>
    </row>
    <row r="972" ht="15.75" customHeight="1">
      <c r="F972" s="205"/>
      <c r="V972" s="209"/>
      <c r="W972" s="209"/>
    </row>
    <row r="973" ht="15.75" customHeight="1">
      <c r="F973" s="205"/>
      <c r="V973" s="209"/>
      <c r="W973" s="209"/>
    </row>
    <row r="974" ht="15.75" customHeight="1">
      <c r="F974" s="205"/>
      <c r="V974" s="209"/>
      <c r="W974" s="209"/>
    </row>
    <row r="975" ht="15.75" customHeight="1">
      <c r="F975" s="205"/>
      <c r="V975" s="209"/>
      <c r="W975" s="209"/>
    </row>
    <row r="976" ht="15.75" customHeight="1">
      <c r="F976" s="205"/>
      <c r="V976" s="209"/>
      <c r="W976" s="209"/>
    </row>
    <row r="977" ht="15.75" customHeight="1">
      <c r="F977" s="205"/>
      <c r="V977" s="209"/>
      <c r="W977" s="209"/>
    </row>
    <row r="978" ht="15.75" customHeight="1">
      <c r="F978" s="205"/>
      <c r="V978" s="209"/>
      <c r="W978" s="209"/>
    </row>
    <row r="979" ht="15.75" customHeight="1">
      <c r="F979" s="205"/>
      <c r="V979" s="209"/>
      <c r="W979" s="209"/>
    </row>
    <row r="980" ht="15.75" customHeight="1">
      <c r="F980" s="205"/>
      <c r="V980" s="209"/>
      <c r="W980" s="209"/>
    </row>
    <row r="981" ht="15.75" customHeight="1">
      <c r="F981" s="205"/>
      <c r="V981" s="209"/>
      <c r="W981" s="209"/>
    </row>
    <row r="982" ht="15.75" customHeight="1">
      <c r="F982" s="205"/>
      <c r="V982" s="209"/>
      <c r="W982" s="209"/>
    </row>
    <row r="983" ht="15.75" customHeight="1">
      <c r="F983" s="205"/>
      <c r="V983" s="209"/>
      <c r="W983" s="209"/>
    </row>
    <row r="984" ht="15.75" customHeight="1">
      <c r="F984" s="205"/>
      <c r="V984" s="209"/>
      <c r="W984" s="209"/>
    </row>
    <row r="985" ht="15.75" customHeight="1">
      <c r="F985" s="205"/>
      <c r="V985" s="209"/>
      <c r="W985" s="209"/>
    </row>
    <row r="986" ht="15.75" customHeight="1">
      <c r="F986" s="205"/>
      <c r="V986" s="209"/>
      <c r="W986" s="209"/>
    </row>
    <row r="987" ht="15.75" customHeight="1">
      <c r="F987" s="205"/>
      <c r="V987" s="209"/>
      <c r="W987" s="209"/>
    </row>
    <row r="988" ht="15.75" customHeight="1">
      <c r="F988" s="205"/>
      <c r="V988" s="209"/>
      <c r="W988" s="209"/>
    </row>
    <row r="989" ht="15.75" customHeight="1">
      <c r="F989" s="205"/>
      <c r="V989" s="209"/>
      <c r="W989" s="209"/>
    </row>
    <row r="990" ht="15.75" customHeight="1">
      <c r="F990" s="205"/>
      <c r="V990" s="209"/>
      <c r="W990" s="209"/>
    </row>
    <row r="991" ht="15.75" customHeight="1">
      <c r="F991" s="205"/>
      <c r="V991" s="209"/>
      <c r="W991" s="209"/>
    </row>
    <row r="992" ht="15.75" customHeight="1">
      <c r="F992" s="205"/>
      <c r="V992" s="209"/>
      <c r="W992" s="209"/>
    </row>
    <row r="993" ht="15.75" customHeight="1">
      <c r="F993" s="205"/>
      <c r="V993" s="209"/>
      <c r="W993" s="209"/>
    </row>
    <row r="994" ht="15.75" customHeight="1">
      <c r="F994" s="205"/>
      <c r="V994" s="209"/>
      <c r="W994" s="209"/>
    </row>
    <row r="995" ht="15.75" customHeight="1">
      <c r="F995" s="205"/>
      <c r="V995" s="209"/>
      <c r="W995" s="209"/>
    </row>
    <row r="996" ht="15.75" customHeight="1">
      <c r="F996" s="205"/>
      <c r="V996" s="209"/>
      <c r="W996" s="209"/>
    </row>
    <row r="997" ht="15.75" customHeight="1">
      <c r="F997" s="205"/>
      <c r="V997" s="209"/>
      <c r="W997" s="209"/>
    </row>
    <row r="998" ht="15.75" customHeight="1">
      <c r="F998" s="205"/>
      <c r="V998" s="209"/>
      <c r="W998" s="209"/>
    </row>
    <row r="999" ht="15.75" customHeight="1">
      <c r="F999" s="205"/>
      <c r="V999" s="209"/>
      <c r="W999" s="209"/>
    </row>
    <row r="1000" ht="15.75" customHeight="1">
      <c r="F1000" s="205"/>
      <c r="V1000" s="209"/>
      <c r="W1000" s="209"/>
    </row>
  </sheetData>
  <autoFilter ref="$B$5:$T$200">
    <sortState ref="B5:T200">
      <sortCondition descending="1" ref="E5:E200"/>
    </sortState>
  </autoFilter>
  <customSheetViews>
    <customSheetView guid="{51569149-E141-4BAE-8E4C-36F8378668C1}" filter="1" showAutoFilter="1">
      <autoFilter ref="$C$5:$C$93"/>
    </customSheetView>
  </customSheetViews>
  <mergeCells count="6">
    <mergeCell ref="A1:X3"/>
    <mergeCell ref="A4:D4"/>
    <mergeCell ref="E4:F4"/>
    <mergeCell ref="G4:K4"/>
    <mergeCell ref="U4:W4"/>
    <mergeCell ref="Z5:AB5"/>
  </mergeCells>
  <conditionalFormatting sqref="E6:E200">
    <cfRule type="expression" dxfId="0" priority="1">
      <formula>COUNTIF(E:E,E6)&gt;1</formula>
    </cfRule>
  </conditionalFormatting>
  <conditionalFormatting sqref="V6:V200">
    <cfRule type="expression" dxfId="1" priority="2">
      <formula>countif(V:V,V6)&gt;1</formula>
    </cfRule>
  </conditionalFormatting>
  <conditionalFormatting sqref="W6:W200">
    <cfRule type="expression" dxfId="2" priority="3">
      <formula>countif(W:W,W6)&gt;1</formula>
    </cfRule>
  </conditionalFormatting>
  <conditionalFormatting sqref="E6:E200">
    <cfRule type="expression" dxfId="3" priority="4">
      <formula>AND(COUNTIF($E$6:E1003, E6) &gt; 0, COUNTIF($Z:$Z, E6) &gt; 0)</formula>
    </cfRule>
  </conditionalFormatting>
  <conditionalFormatting sqref="W6:W200">
    <cfRule type="expression" dxfId="3" priority="5">
      <formula>AND(COUNTIF($W$6:W1003, W6) &gt; 0, COUNTIF($AB:$AC, W6) &gt; 0)</formula>
    </cfRule>
  </conditionalFormatting>
  <conditionalFormatting sqref="Z6:Z200">
    <cfRule type="expression" dxfId="3" priority="6">
      <formula>AND(COUNTIF($Z6:$Z1003, Z6) &gt; 0,  COUNTIF($E:E, Z6) &gt; 0)</formula>
    </cfRule>
  </conditionalFormatting>
  <conditionalFormatting sqref="AB6:AM200">
    <cfRule type="expression" dxfId="3" priority="7">
      <formula>AND(COUNTIF($AB6:$AB1003, AB6) &gt; 0,  COUNTIF($W:W, AB6) &gt; 0)</formula>
    </cfRule>
  </conditionalFormatting>
  <conditionalFormatting sqref="V6:V200">
    <cfRule type="expression" dxfId="3" priority="8">
      <formula>AND(COUNTIF($V$6:V1003, V6) &gt; 0, COUNTIF($AB:$AC, V6) &gt; 0)</formula>
    </cfRule>
  </conditionalFormatting>
  <dataValidations>
    <dataValidation type="list" allowBlank="1" showInputMessage="1" showErrorMessage="1" prompt=" - " sqref="T6:T200">
      <formula1>reppi</formula1>
    </dataValidation>
    <dataValidation type="list" allowBlank="1" showErrorMessage="1" sqref="C6:C200">
      <formula1>periodestamp</formula1>
    </dataValidation>
    <dataValidation type="list" allowBlank="1" showInputMessage="1" showErrorMessage="1" prompt=" - " sqref="Q6:Q200">
      <formula1>statpi</formula1>
    </dataValidation>
    <dataValidation type="custom" allowBlank="1" showDropDown="1" showInputMessage="1" prompt="Duplikasi!! judul yang anda masukkan sudah terdapat pada list sebelumnya" sqref="E6:E27 E29:E85 E88:E200">
      <formula1>countif($E$6:$E1003,E6)=1</formula1>
    </dataValidation>
    <dataValidation type="custom" allowBlank="1" showDropDown="1" showInputMessage="1" prompt="Duplikasi!! judul yang anda masukkan sudah terdapat pada list sebelumnya" sqref="E28">
      <formula1>countif($E$6:$E1025,#REF!)=1</formula1>
    </dataValidation>
    <dataValidation type="list" allowBlank="1" showInputMessage="1" showErrorMessage="1" prompt=" - " sqref="P6:P200">
      <formula1>jnspi</formula1>
    </dataValidation>
    <dataValidation type="list" allowBlank="1" showErrorMessage="1" sqref="F6:F200">
      <formula1>kelris</formula1>
    </dataValidation>
    <dataValidation type="list" allowBlank="1" showErrorMessage="1" sqref="G6:N200">
      <formula1>nmperiset</formula1>
    </dataValidation>
    <dataValidation type="list" allowBlank="1" showErrorMessage="1" sqref="S6:S200">
      <formula1>index</formula1>
    </dataValidation>
    <dataValidation type="custom" allowBlank="1" showDropDown="1" showInputMessage="1" prompt="Duplikasi!! judul yang anda masukkan sudah terdapat pada list sebelumnya" sqref="E86">
      <formula1>countif($E$6:$E1084,E86)=1</formula1>
    </dataValidation>
    <dataValidation type="list" allowBlank="1" showDropDown="1" showErrorMessage="1" sqref="D6:D200">
      <formula1>statuskelris</formula1>
    </dataValidation>
  </dataValidations>
  <hyperlinks>
    <hyperlink r:id="rId1" ref="U6"/>
    <hyperlink r:id="rId2" ref="W6"/>
    <hyperlink r:id="rId3" ref="AC6"/>
    <hyperlink r:id="rId4" ref="U7"/>
    <hyperlink r:id="rId5" ref="W7"/>
    <hyperlink r:id="rId6" ref="AC7"/>
    <hyperlink r:id="rId7" ref="U8"/>
    <hyperlink r:id="rId8" ref="W8"/>
    <hyperlink r:id="rId9" ref="AC8"/>
    <hyperlink r:id="rId10" ref="U9"/>
    <hyperlink r:id="rId11" ref="W9"/>
    <hyperlink r:id="rId12" ref="AC9"/>
    <hyperlink r:id="rId13" ref="U10"/>
    <hyperlink r:id="rId14" ref="W10"/>
    <hyperlink r:id="rId15" ref="AC10"/>
    <hyperlink r:id="rId16" ref="U11"/>
    <hyperlink r:id="rId17" ref="V11"/>
    <hyperlink r:id="rId18" ref="W11"/>
    <hyperlink r:id="rId19" ref="AC11"/>
    <hyperlink r:id="rId20" ref="U12"/>
    <hyperlink r:id="rId21" ref="W12"/>
    <hyperlink r:id="rId22" ref="G13"/>
    <hyperlink r:id="rId23" ref="U13"/>
    <hyperlink r:id="rId24" ref="W13"/>
    <hyperlink r:id="rId25" ref="AC13"/>
    <hyperlink r:id="rId26" ref="U14"/>
    <hyperlink r:id="rId27" ref="W14"/>
    <hyperlink r:id="rId28" ref="AC14"/>
    <hyperlink r:id="rId29" ref="U15"/>
    <hyperlink r:id="rId30" ref="W15"/>
    <hyperlink r:id="rId31" ref="AC15"/>
    <hyperlink r:id="rId32" ref="U16"/>
    <hyperlink r:id="rId33" ref="V16"/>
    <hyperlink r:id="rId34" ref="AC16"/>
    <hyperlink r:id="rId35" ref="U17"/>
    <hyperlink r:id="rId36" ref="W17"/>
    <hyperlink r:id="rId37" ref="AC17"/>
    <hyperlink r:id="rId38" ref="U18"/>
    <hyperlink r:id="rId39" ref="W18"/>
    <hyperlink r:id="rId40" ref="AC18"/>
    <hyperlink r:id="rId41" ref="U19"/>
    <hyperlink r:id="rId42" ref="W19"/>
    <hyperlink r:id="rId43" ref="AC19"/>
    <hyperlink r:id="rId44" ref="U20"/>
    <hyperlink r:id="rId45" ref="W20"/>
    <hyperlink r:id="rId46" ref="AC20"/>
    <hyperlink r:id="rId47" ref="H21"/>
    <hyperlink r:id="rId48" ref="U21"/>
    <hyperlink r:id="rId49" ref="AC21"/>
    <hyperlink r:id="rId50" ref="U22"/>
    <hyperlink r:id="rId51" ref="V22"/>
    <hyperlink r:id="rId52" ref="W22"/>
    <hyperlink r:id="rId53" ref="AC22"/>
    <hyperlink r:id="rId54" ref="U23"/>
    <hyperlink r:id="rId55" ref="V23"/>
    <hyperlink r:id="rId56" ref="W23"/>
    <hyperlink r:id="rId57" ref="AC23"/>
    <hyperlink r:id="rId58" ref="U24"/>
    <hyperlink r:id="rId59" ref="V24"/>
    <hyperlink r:id="rId60" ref="W24"/>
    <hyperlink r:id="rId61" ref="AC24"/>
    <hyperlink r:id="rId62" ref="U25"/>
    <hyperlink r:id="rId63" ref="V25"/>
    <hyperlink r:id="rId64" ref="W25"/>
    <hyperlink r:id="rId65" ref="AC25"/>
    <hyperlink r:id="rId66" ref="U26"/>
    <hyperlink r:id="rId67" ref="AC26"/>
    <hyperlink r:id="rId68" ref="H27"/>
    <hyperlink r:id="rId69" ref="U27"/>
    <hyperlink r:id="rId70" ref="V27"/>
    <hyperlink r:id="rId71" ref="W27"/>
    <hyperlink r:id="rId72" ref="X27"/>
    <hyperlink r:id="rId73" ref="AC27"/>
    <hyperlink r:id="rId74" ref="U28"/>
    <hyperlink r:id="rId75" ref="AC28"/>
    <hyperlink r:id="rId76" ref="U29"/>
    <hyperlink r:id="rId77" ref="V29"/>
    <hyperlink r:id="rId78" ref="W29"/>
    <hyperlink r:id="rId79" ref="U30"/>
    <hyperlink r:id="rId80" ref="V30"/>
    <hyperlink r:id="rId81" ref="W30"/>
    <hyperlink r:id="rId82" ref="AC30"/>
    <hyperlink r:id="rId83" ref="U31"/>
    <hyperlink r:id="rId84" ref="V31"/>
    <hyperlink r:id="rId85" ref="W31"/>
    <hyperlink r:id="rId86" ref="U32"/>
    <hyperlink r:id="rId87" ref="V32"/>
    <hyperlink r:id="rId88" ref="W32"/>
    <hyperlink r:id="rId89" ref="AC32"/>
    <hyperlink r:id="rId90" ref="U33"/>
    <hyperlink r:id="rId91" ref="V33"/>
    <hyperlink r:id="rId92" ref="AC33"/>
    <hyperlink r:id="rId93" ref="U34"/>
    <hyperlink r:id="rId94" ref="V34"/>
    <hyperlink r:id="rId95" ref="W34"/>
    <hyperlink r:id="rId96" ref="AC34"/>
    <hyperlink r:id="rId97" ref="U35"/>
    <hyperlink r:id="rId98" ref="V35"/>
    <hyperlink r:id="rId99" ref="W35"/>
    <hyperlink r:id="rId100" ref="AC35"/>
    <hyperlink r:id="rId101" ref="U36"/>
    <hyperlink r:id="rId102" ref="V36"/>
    <hyperlink r:id="rId103" ref="W36"/>
    <hyperlink r:id="rId104" ref="AC36"/>
    <hyperlink r:id="rId105" ref="U37"/>
    <hyperlink r:id="rId106" ref="U38"/>
    <hyperlink r:id="rId107" ref="V38"/>
    <hyperlink r:id="rId108" ref="W38"/>
    <hyperlink r:id="rId109" ref="AC38"/>
    <hyperlink r:id="rId110" ref="U39"/>
    <hyperlink r:id="rId111" ref="V39"/>
    <hyperlink r:id="rId112" ref="W39"/>
    <hyperlink r:id="rId113" ref="AC39"/>
    <hyperlink r:id="rId114" ref="U40"/>
    <hyperlink r:id="rId115" ref="V40"/>
    <hyperlink r:id="rId116" ref="W40"/>
    <hyperlink r:id="rId117" ref="AC40"/>
    <hyperlink r:id="rId118" ref="U41"/>
    <hyperlink r:id="rId119" ref="V41"/>
    <hyperlink r:id="rId120" ref="W41"/>
    <hyperlink r:id="rId121" ref="AC41"/>
    <hyperlink r:id="rId122" ref="U42"/>
    <hyperlink r:id="rId123" ref="V42"/>
    <hyperlink r:id="rId124" ref="W42"/>
    <hyperlink r:id="rId125" ref="AC42"/>
    <hyperlink r:id="rId126" ref="U43"/>
    <hyperlink r:id="rId127" ref="AC43"/>
    <hyperlink r:id="rId128" ref="U44"/>
    <hyperlink r:id="rId129" ref="V44"/>
    <hyperlink r:id="rId130" ref="W44"/>
    <hyperlink r:id="rId131" ref="AC44"/>
    <hyperlink r:id="rId132" ref="U45"/>
    <hyperlink r:id="rId133" ref="V45"/>
    <hyperlink r:id="rId134" ref="W45"/>
    <hyperlink r:id="rId135" ref="AC45"/>
    <hyperlink r:id="rId136" ref="U46"/>
    <hyperlink r:id="rId137" ref="V46"/>
    <hyperlink r:id="rId138" ref="W46"/>
    <hyperlink r:id="rId139" ref="AC46"/>
    <hyperlink r:id="rId140" ref="U47"/>
    <hyperlink r:id="rId141" ref="V47"/>
    <hyperlink r:id="rId142" ref="W47"/>
    <hyperlink r:id="rId143" ref="AC47"/>
    <hyperlink r:id="rId144" ref="U48"/>
    <hyperlink r:id="rId145" ref="V48"/>
    <hyperlink r:id="rId146" ref="AC48"/>
    <hyperlink r:id="rId147" ref="U49"/>
    <hyperlink r:id="rId148" ref="AC49"/>
    <hyperlink r:id="rId149" ref="U50"/>
    <hyperlink r:id="rId150" ref="AC50"/>
    <hyperlink r:id="rId151" ref="U51"/>
    <hyperlink r:id="rId152" ref="V51"/>
    <hyperlink r:id="rId153" ref="AC51"/>
    <hyperlink r:id="rId154" ref="U52"/>
    <hyperlink r:id="rId155" ref="V52"/>
    <hyperlink r:id="rId156" ref="AC52"/>
    <hyperlink r:id="rId157" ref="U53"/>
    <hyperlink r:id="rId158" ref="AC53"/>
    <hyperlink r:id="rId159" ref="U54"/>
    <hyperlink r:id="rId160" ref="V54"/>
    <hyperlink r:id="rId161" ref="W54"/>
    <hyperlink r:id="rId162" ref="AC54"/>
    <hyperlink r:id="rId163" ref="U55"/>
    <hyperlink r:id="rId164" ref="V55"/>
    <hyperlink r:id="rId165" ref="W55"/>
    <hyperlink r:id="rId166" ref="AC55"/>
    <hyperlink r:id="rId167" ref="U56"/>
    <hyperlink r:id="rId168" ref="AC56"/>
    <hyperlink r:id="rId169" ref="I57"/>
    <hyperlink r:id="rId170" ref="U57"/>
    <hyperlink r:id="rId171" ref="V57"/>
    <hyperlink r:id="rId172" ref="W57"/>
    <hyperlink r:id="rId173" ref="AC57"/>
    <hyperlink r:id="rId174" ref="U58"/>
    <hyperlink r:id="rId175" ref="V58"/>
    <hyperlink r:id="rId176" ref="AC58"/>
    <hyperlink r:id="rId177" ref="U59"/>
    <hyperlink r:id="rId178" ref="V59"/>
    <hyperlink r:id="rId179" ref="W59"/>
    <hyperlink r:id="rId180" ref="AC59"/>
    <hyperlink r:id="rId181" ref="U60"/>
    <hyperlink r:id="rId182" ref="AC60"/>
    <hyperlink r:id="rId183" ref="U61"/>
    <hyperlink r:id="rId184" ref="V61"/>
    <hyperlink r:id="rId185" ref="W61"/>
    <hyperlink r:id="rId186" ref="AC61"/>
    <hyperlink r:id="rId187" ref="U62"/>
    <hyperlink r:id="rId188" ref="AC62"/>
    <hyperlink r:id="rId189" ref="U63"/>
    <hyperlink r:id="rId190" ref="AC63"/>
    <hyperlink r:id="rId191" ref="U64"/>
    <hyperlink r:id="rId192" ref="AC64"/>
    <hyperlink r:id="rId193" ref="U65"/>
    <hyperlink r:id="rId194" ref="AC65"/>
    <hyperlink r:id="rId195" ref="U66"/>
    <hyperlink r:id="rId196" ref="AC66"/>
    <hyperlink r:id="rId197" ref="U67"/>
    <hyperlink r:id="rId198" ref="AC67"/>
    <hyperlink r:id="rId199" ref="U68"/>
    <hyperlink r:id="rId200" ref="U69"/>
    <hyperlink r:id="rId201" ref="AC69"/>
    <hyperlink r:id="rId202" ref="U70"/>
    <hyperlink r:id="rId203" ref="AC70"/>
    <hyperlink r:id="rId204" ref="U71"/>
    <hyperlink r:id="rId205" ref="V71"/>
    <hyperlink r:id="rId206" ref="W71"/>
    <hyperlink r:id="rId207" ref="AC71"/>
    <hyperlink r:id="rId208" ref="U72"/>
    <hyperlink r:id="rId209" ref="V72"/>
    <hyperlink r:id="rId210" ref="W72"/>
    <hyperlink r:id="rId211" ref="AC72"/>
    <hyperlink r:id="rId212" ref="U73"/>
    <hyperlink r:id="rId213" ref="V73"/>
    <hyperlink r:id="rId214" ref="X73"/>
    <hyperlink r:id="rId215" ref="AC73"/>
    <hyperlink r:id="rId216" ref="U74"/>
    <hyperlink r:id="rId217" ref="V74"/>
    <hyperlink r:id="rId218" ref="W74"/>
    <hyperlink r:id="rId219" ref="AC74"/>
    <hyperlink r:id="rId220" ref="U75"/>
    <hyperlink r:id="rId221" ref="V75"/>
    <hyperlink r:id="rId222" ref="W75"/>
    <hyperlink r:id="rId223" ref="U76"/>
    <hyperlink r:id="rId224" ref="AC76"/>
    <hyperlink r:id="rId225" ref="U77"/>
    <hyperlink r:id="rId226" ref="J78"/>
    <hyperlink r:id="rId227" ref="K78"/>
    <hyperlink r:id="rId228" ref="U78"/>
    <hyperlink r:id="rId229" ref="AC78"/>
    <hyperlink r:id="rId230" ref="U79"/>
    <hyperlink r:id="rId231" ref="X79"/>
    <hyperlink r:id="rId232" ref="AC79"/>
    <hyperlink r:id="rId233" ref="H80"/>
    <hyperlink r:id="rId234" ref="K80"/>
    <hyperlink r:id="rId235" ref="U80"/>
    <hyperlink r:id="rId236" ref="AC80"/>
    <hyperlink r:id="rId237" ref="U81"/>
    <hyperlink r:id="rId238" ref="AC81"/>
    <hyperlink r:id="rId239" ref="U82"/>
    <hyperlink r:id="rId240" ref="V82"/>
    <hyperlink r:id="rId241" ref="AC82"/>
    <hyperlink r:id="rId242" ref="H83"/>
    <hyperlink r:id="rId243" ref="U83"/>
    <hyperlink r:id="rId244" ref="AC83"/>
    <hyperlink r:id="rId245" ref="U84"/>
    <hyperlink r:id="rId246" ref="AC84"/>
    <hyperlink r:id="rId247" ref="U85"/>
    <hyperlink r:id="rId248" ref="V85"/>
    <hyperlink r:id="rId249" ref="AC85"/>
    <hyperlink r:id="rId250" ref="G86"/>
    <hyperlink r:id="rId251" ref="U86"/>
    <hyperlink r:id="rId252" ref="V86"/>
    <hyperlink r:id="rId253" ref="W86"/>
    <hyperlink r:id="rId254" ref="AC86"/>
    <hyperlink r:id="rId255" ref="M87"/>
    <hyperlink r:id="rId256" ref="V87"/>
    <hyperlink r:id="rId257" ref="AC87"/>
    <hyperlink r:id="rId258" ref="U88"/>
    <hyperlink r:id="rId259" ref="AC88"/>
    <hyperlink r:id="rId260" ref="K89"/>
    <hyperlink r:id="rId261" ref="U89"/>
    <hyperlink r:id="rId262" ref="AC89"/>
    <hyperlink r:id="rId263" ref="U90"/>
    <hyperlink r:id="rId264" ref="AC90"/>
    <hyperlink r:id="rId265" ref="L91"/>
    <hyperlink r:id="rId266" ref="U91"/>
    <hyperlink r:id="rId267" ref="AC91"/>
    <hyperlink r:id="rId268" ref="U92"/>
    <hyperlink r:id="rId269" ref="AC92"/>
    <hyperlink r:id="rId270" ref="U93"/>
    <hyperlink r:id="rId271" ref="V93"/>
    <hyperlink r:id="rId272" ref="W93"/>
    <hyperlink r:id="rId273" ref="AC93"/>
    <hyperlink r:id="rId274" ref="U94"/>
    <hyperlink r:id="rId275" ref="AC94"/>
    <hyperlink r:id="rId276" ref="U95"/>
    <hyperlink r:id="rId277" ref="V95"/>
    <hyperlink r:id="rId278" ref="W95"/>
    <hyperlink r:id="rId279" ref="AC95"/>
    <hyperlink r:id="rId280" ref="U96"/>
    <hyperlink r:id="rId281" ref="AC96"/>
    <hyperlink r:id="rId282" ref="U97"/>
    <hyperlink r:id="rId283" ref="AC97"/>
    <hyperlink r:id="rId284" ref="U98"/>
    <hyperlink r:id="rId285" ref="AC98"/>
    <hyperlink r:id="rId286" ref="U99"/>
    <hyperlink r:id="rId287" ref="AC99"/>
    <hyperlink r:id="rId288" ref="U100"/>
    <hyperlink r:id="rId289" ref="AC100"/>
    <hyperlink r:id="rId290" ref="U101"/>
    <hyperlink r:id="rId291" ref="AC101"/>
    <hyperlink r:id="rId292" ref="U102"/>
    <hyperlink r:id="rId293" ref="AC102"/>
    <hyperlink r:id="rId294" ref="U103"/>
    <hyperlink r:id="rId295" ref="AC103"/>
    <hyperlink r:id="rId296" ref="U104"/>
    <hyperlink r:id="rId297" ref="AC104"/>
    <hyperlink r:id="rId298" ref="U105"/>
    <hyperlink r:id="rId299" ref="AC105"/>
    <hyperlink r:id="rId300" ref="U106"/>
    <hyperlink r:id="rId301" ref="AC106"/>
    <hyperlink r:id="rId302" ref="U107"/>
    <hyperlink r:id="rId303" ref="AC107"/>
    <hyperlink r:id="rId304" ref="U108"/>
    <hyperlink r:id="rId305" ref="U109"/>
    <hyperlink r:id="rId306" ref="AC109"/>
    <hyperlink r:id="rId307" ref="U110"/>
    <hyperlink r:id="rId308" ref="AC110"/>
    <hyperlink r:id="rId309" ref="U111"/>
    <hyperlink r:id="rId310" ref="AC111"/>
    <hyperlink r:id="rId311" ref="U112"/>
    <hyperlink r:id="rId312" ref="AC112"/>
    <hyperlink r:id="rId313" ref="U113"/>
    <hyperlink r:id="rId314" ref="AC113"/>
    <hyperlink r:id="rId315" ref="U114"/>
    <hyperlink r:id="rId316" ref="U115"/>
    <hyperlink r:id="rId317" ref="U116"/>
    <hyperlink r:id="rId318" ref="AC116"/>
    <hyperlink r:id="rId319" ref="U117"/>
    <hyperlink r:id="rId320" ref="AC117"/>
    <hyperlink r:id="rId321" ref="U118"/>
    <hyperlink r:id="rId322" ref="AC118"/>
    <hyperlink r:id="rId323" ref="U119"/>
    <hyperlink r:id="rId324" ref="AC119"/>
    <hyperlink r:id="rId325" ref="U120"/>
    <hyperlink r:id="rId326" ref="AC120"/>
    <hyperlink r:id="rId327" ref="U121"/>
    <hyperlink r:id="rId328" ref="AC121"/>
    <hyperlink r:id="rId329" ref="U122"/>
    <hyperlink r:id="rId330" ref="AC122"/>
    <hyperlink r:id="rId331" ref="U123"/>
    <hyperlink r:id="rId332" ref="AC123"/>
    <hyperlink r:id="rId333" ref="U124"/>
    <hyperlink r:id="rId334" ref="AC124"/>
    <hyperlink r:id="rId335" ref="U125"/>
    <hyperlink r:id="rId336" ref="AC125"/>
    <hyperlink r:id="rId337" ref="U126"/>
    <hyperlink r:id="rId338" ref="AC126"/>
    <hyperlink r:id="rId339" ref="U127"/>
    <hyperlink r:id="rId340" ref="AC127"/>
    <hyperlink r:id="rId341" ref="U128"/>
    <hyperlink r:id="rId342" ref="AC128"/>
    <hyperlink r:id="rId343" ref="U129"/>
    <hyperlink r:id="rId344" ref="AC129"/>
    <hyperlink r:id="rId345" ref="U130"/>
    <hyperlink r:id="rId346" ref="AC130"/>
    <hyperlink r:id="rId347" ref="U131"/>
    <hyperlink r:id="rId348" ref="AC131"/>
    <hyperlink r:id="rId349" ref="U132"/>
    <hyperlink r:id="rId350" ref="AC132"/>
    <hyperlink r:id="rId351" ref="U133"/>
    <hyperlink r:id="rId352" ref="AC133"/>
    <hyperlink r:id="rId353" ref="U134"/>
    <hyperlink r:id="rId354" ref="AC134"/>
    <hyperlink r:id="rId355" ref="U135"/>
    <hyperlink r:id="rId356" ref="AC135"/>
    <hyperlink r:id="rId357" ref="U136"/>
    <hyperlink r:id="rId358" ref="AC136"/>
    <hyperlink r:id="rId359" ref="U137"/>
    <hyperlink r:id="rId360" ref="AC137"/>
    <hyperlink r:id="rId361" ref="U138"/>
    <hyperlink r:id="rId362" ref="AC138"/>
    <hyperlink r:id="rId363" ref="U139"/>
    <hyperlink r:id="rId364" ref="AC139"/>
    <hyperlink r:id="rId365" ref="U140"/>
    <hyperlink r:id="rId366" ref="AC140"/>
    <hyperlink r:id="rId367" ref="U141"/>
    <hyperlink r:id="rId368" ref="AC141"/>
    <hyperlink r:id="rId369" ref="U142"/>
    <hyperlink r:id="rId370" ref="AC142"/>
    <hyperlink r:id="rId371" ref="U143"/>
    <hyperlink r:id="rId372" ref="AC143"/>
    <hyperlink r:id="rId373" ref="U144"/>
    <hyperlink r:id="rId374" ref="AC144"/>
    <hyperlink r:id="rId375" ref="U145"/>
    <hyperlink r:id="rId376" ref="AC145"/>
    <hyperlink r:id="rId377" ref="U146"/>
    <hyperlink r:id="rId378" ref="U147"/>
    <hyperlink r:id="rId379" ref="AC147"/>
    <hyperlink r:id="rId380" ref="U148"/>
    <hyperlink r:id="rId381" ref="AC148"/>
    <hyperlink r:id="rId382" ref="U149"/>
    <hyperlink r:id="rId383" ref="U150"/>
    <hyperlink r:id="rId384" ref="U151"/>
    <hyperlink r:id="rId385" ref="AC151"/>
    <hyperlink r:id="rId386" ref="U152"/>
    <hyperlink r:id="rId387" ref="U153"/>
    <hyperlink r:id="rId388" ref="AC153"/>
    <hyperlink r:id="rId389" ref="U154"/>
    <hyperlink r:id="rId390" ref="AC154"/>
    <hyperlink r:id="rId391" ref="U155"/>
    <hyperlink r:id="rId392" ref="U156"/>
    <hyperlink r:id="rId393" ref="AC156"/>
    <hyperlink r:id="rId394" ref="U157"/>
    <hyperlink r:id="rId395" ref="AC157"/>
    <hyperlink r:id="rId396" ref="U158"/>
    <hyperlink r:id="rId397" ref="AC158"/>
    <hyperlink r:id="rId398" ref="U159"/>
    <hyperlink r:id="rId399" ref="AC159"/>
    <hyperlink r:id="rId400" ref="U160"/>
    <hyperlink r:id="rId401" ref="U161"/>
    <hyperlink r:id="rId402" ref="AC161"/>
    <hyperlink r:id="rId403" ref="U162"/>
    <hyperlink r:id="rId404" ref="AC162"/>
    <hyperlink r:id="rId405" ref="U163"/>
    <hyperlink r:id="rId406" ref="AC163"/>
    <hyperlink r:id="rId407" ref="U164"/>
    <hyperlink r:id="rId408" ref="AC164"/>
    <hyperlink r:id="rId409" ref="U165"/>
    <hyperlink r:id="rId410" ref="AC165"/>
    <hyperlink r:id="rId411" ref="U166"/>
    <hyperlink r:id="rId412" ref="AC166"/>
    <hyperlink r:id="rId413" ref="U167"/>
    <hyperlink r:id="rId414" ref="AC167"/>
    <hyperlink r:id="rId415" ref="U168"/>
    <hyperlink r:id="rId416" ref="AC168"/>
    <hyperlink r:id="rId417" ref="U169"/>
    <hyperlink r:id="rId418" ref="U170"/>
    <hyperlink r:id="rId419" ref="U171"/>
    <hyperlink r:id="rId420" ref="U172"/>
    <hyperlink r:id="rId421" ref="AC172"/>
    <hyperlink r:id="rId422" ref="U173"/>
    <hyperlink r:id="rId423" ref="AC173"/>
    <hyperlink r:id="rId424" ref="U174"/>
    <hyperlink r:id="rId425" ref="AC174"/>
    <hyperlink r:id="rId426" ref="U175"/>
    <hyperlink r:id="rId427" ref="AC175"/>
    <hyperlink r:id="rId428" ref="U176"/>
    <hyperlink r:id="rId429" ref="AC176"/>
    <hyperlink r:id="rId430" ref="U177"/>
    <hyperlink r:id="rId431" ref="AC177"/>
    <hyperlink r:id="rId432" ref="U178"/>
    <hyperlink r:id="rId433" ref="AC178"/>
    <hyperlink r:id="rId434" ref="U179"/>
    <hyperlink r:id="rId435" ref="AC179"/>
    <hyperlink r:id="rId436" ref="U180"/>
    <hyperlink r:id="rId437" ref="AC180"/>
    <hyperlink r:id="rId438" ref="U181"/>
    <hyperlink r:id="rId439" ref="AC181"/>
    <hyperlink r:id="rId440" ref="U182"/>
    <hyperlink r:id="rId441" ref="AC182"/>
    <hyperlink r:id="rId442" ref="U183"/>
    <hyperlink r:id="rId443" ref="AC183"/>
    <hyperlink r:id="rId444" ref="U184"/>
    <hyperlink r:id="rId445" ref="AC184"/>
    <hyperlink r:id="rId446" ref="U185"/>
    <hyperlink r:id="rId447" ref="AC185"/>
    <hyperlink r:id="rId448" ref="U186"/>
    <hyperlink r:id="rId449" ref="AC186"/>
    <hyperlink r:id="rId450" ref="U187"/>
    <hyperlink r:id="rId451" ref="AC187"/>
    <hyperlink r:id="rId452" ref="U188"/>
    <hyperlink r:id="rId453" ref="AC188"/>
    <hyperlink r:id="rId454" ref="U189"/>
    <hyperlink r:id="rId455" ref="AC189"/>
    <hyperlink r:id="rId456" ref="U190"/>
    <hyperlink r:id="rId457" ref="AC190"/>
    <hyperlink r:id="rId458" ref="U191"/>
    <hyperlink r:id="rId459" ref="AC191"/>
    <hyperlink r:id="rId460" ref="U192"/>
    <hyperlink r:id="rId461" ref="AC192"/>
    <hyperlink r:id="rId462" ref="U193"/>
    <hyperlink r:id="rId463" ref="AC193"/>
    <hyperlink r:id="rId464" ref="U194"/>
    <hyperlink r:id="rId465" ref="AC194"/>
    <hyperlink r:id="rId466" ref="U195"/>
    <hyperlink r:id="rId467" ref="AC195"/>
    <hyperlink r:id="rId468" ref="U196"/>
    <hyperlink r:id="rId469" ref="U197"/>
    <hyperlink r:id="rId470" ref="AC197"/>
    <hyperlink r:id="rId471" ref="U198"/>
    <hyperlink r:id="rId472" ref="AC198"/>
    <hyperlink r:id="rId473" ref="U199"/>
    <hyperlink r:id="rId474" ref="U200"/>
    <hyperlink r:id="rId475" ref="AC200"/>
    <hyperlink r:id="rId476" ref="AC201"/>
    <hyperlink r:id="rId477" ref="AB202"/>
    <hyperlink r:id="rId478" ref="AC202"/>
    <hyperlink r:id="rId479" ref="AB203"/>
    <hyperlink r:id="rId480" ref="AC203"/>
    <hyperlink r:id="rId481" ref="AB204"/>
    <hyperlink r:id="rId482" ref="AB205"/>
    <hyperlink r:id="rId483" ref="AC205"/>
    <hyperlink r:id="rId484" ref="AB206"/>
    <hyperlink r:id="rId485" ref="AB207"/>
    <hyperlink r:id="rId486" ref="AB208"/>
    <hyperlink r:id="rId487" ref="AC208"/>
    <hyperlink r:id="rId488" ref="AB209"/>
    <hyperlink r:id="rId489" ref="AC209"/>
    <hyperlink r:id="rId490" ref="AB210"/>
    <hyperlink r:id="rId491" ref="AC210"/>
    <hyperlink r:id="rId492" ref="AB211"/>
    <hyperlink r:id="rId493" ref="AB212"/>
    <hyperlink r:id="rId494" ref="AB213"/>
    <hyperlink r:id="rId495" ref="AB214"/>
    <hyperlink r:id="rId496" ref="AC214"/>
    <hyperlink r:id="rId497" ref="AB215"/>
    <hyperlink r:id="rId498" ref="AB216"/>
    <hyperlink r:id="rId499" ref="AC216"/>
    <hyperlink r:id="rId500" ref="AB217"/>
    <hyperlink r:id="rId501" ref="AB218"/>
    <hyperlink r:id="rId502" ref="AB219"/>
    <hyperlink r:id="rId503" ref="AC219"/>
    <hyperlink r:id="rId504" ref="AB220"/>
    <hyperlink r:id="rId505" ref="AB221"/>
    <hyperlink r:id="rId506" ref="AB222"/>
    <hyperlink r:id="rId507" ref="AB223"/>
    <hyperlink r:id="rId508" ref="AB224"/>
    <hyperlink r:id="rId509" ref="AC224"/>
    <hyperlink r:id="rId510" ref="AB225"/>
    <hyperlink r:id="rId511" ref="AB226"/>
    <hyperlink r:id="rId512" ref="AC226"/>
    <hyperlink r:id="rId513" ref="AB227"/>
    <hyperlink r:id="rId514" ref="AC227"/>
    <hyperlink r:id="rId515" ref="AB228"/>
    <hyperlink r:id="rId516" ref="AB229"/>
    <hyperlink r:id="rId517" ref="AB230"/>
    <hyperlink r:id="rId518" ref="AB231"/>
    <hyperlink r:id="rId519" ref="AB232"/>
    <hyperlink r:id="rId520" ref="AB233"/>
    <hyperlink r:id="rId521" ref="AC233"/>
    <hyperlink r:id="rId522" ref="AB234"/>
    <hyperlink r:id="rId523" location="kwrds0015" ref="AB235"/>
    <hyperlink r:id="rId524" ref="AC235"/>
    <hyperlink r:id="rId525" ref="AB236"/>
    <hyperlink r:id="rId526" ref="AB237"/>
    <hyperlink r:id="rId527" ref="AC237"/>
    <hyperlink r:id="rId528" ref="AB238"/>
    <hyperlink r:id="rId529" ref="AC238"/>
    <hyperlink r:id="rId530" location="sec0105" ref="AB239"/>
    <hyperlink r:id="rId531" ref="AB240"/>
    <hyperlink r:id="rId532" ref="AB241"/>
    <hyperlink r:id="rId533" ref="AB242"/>
    <hyperlink r:id="rId534" ref="AC242"/>
    <hyperlink r:id="rId535" ref="AB243"/>
    <hyperlink r:id="rId536" ref="AC243"/>
    <hyperlink r:id="rId537" location=":~:text=In%202022%2C%20We%20are%20excited,held%20in%20a%20virtual%20format." ref="AB244"/>
    <hyperlink r:id="rId538" ref="AC244"/>
    <hyperlink r:id="rId539" ref="AB245"/>
    <hyperlink r:id="rId540" ref="AC245"/>
    <hyperlink r:id="rId541" ref="AB246"/>
    <hyperlink r:id="rId542" ref="AB247"/>
    <hyperlink r:id="rId543" ref="AB248"/>
    <hyperlink r:id="rId544" ref="AC248"/>
    <hyperlink r:id="rId545" ref="AB249"/>
    <hyperlink r:id="rId546" ref="AC249"/>
    <hyperlink r:id="rId547" ref="AB250"/>
    <hyperlink r:id="rId548" ref="AC250"/>
    <hyperlink r:id="rId549" ref="AB251"/>
    <hyperlink r:id="rId550" ref="AB252"/>
    <hyperlink r:id="rId551" ref="AB253"/>
    <hyperlink r:id="rId552" ref="AC253"/>
    <hyperlink r:id="rId553" ref="AB254"/>
    <hyperlink r:id="rId554" ref="AC254"/>
    <hyperlink r:id="rId555" ref="AB257"/>
    <hyperlink r:id="rId556" ref="AB258"/>
    <hyperlink r:id="rId557" ref="AB259"/>
    <hyperlink r:id="rId558" ref="AB261"/>
    <hyperlink r:id="rId559" ref="AB263"/>
    <hyperlink r:id="rId560" ref="AB265"/>
    <hyperlink r:id="rId561" ref="AB266"/>
    <hyperlink r:id="rId562" ref="AB268"/>
    <hyperlink r:id="rId563" ref="AB269"/>
    <hyperlink r:id="rId564" ref="AB271"/>
    <hyperlink r:id="rId565" ref="AB273"/>
    <hyperlink r:id="rId566" ref="AB274"/>
    <hyperlink r:id="rId567" ref="AB276"/>
    <hyperlink r:id="rId568" ref="AB278"/>
    <hyperlink r:id="rId569" location="heading=h.gjdgxs" ref="AB279"/>
    <hyperlink r:id="rId570" ref="AB280"/>
    <hyperlink r:id="rId571" ref="AB281"/>
    <hyperlink r:id="rId572" ref="AB282"/>
    <hyperlink r:id="rId573" ref="AB283"/>
    <hyperlink r:id="rId574" ref="AB284"/>
    <hyperlink r:id="rId575" ref="AB285"/>
    <hyperlink r:id="rId576" ref="AB286"/>
    <hyperlink r:id="rId577" ref="AB288"/>
    <hyperlink r:id="rId578" ref="AC289"/>
    <hyperlink r:id="rId579" ref="AB290"/>
    <hyperlink r:id="rId580" ref="AC290"/>
    <hyperlink r:id="rId581" ref="AB291"/>
    <hyperlink r:id="rId582" ref="AC291"/>
    <hyperlink r:id="rId583" ref="AB292"/>
    <hyperlink r:id="rId584" ref="AC292"/>
    <hyperlink r:id="rId585" ref="AB293"/>
    <hyperlink r:id="rId586" ref="AC293"/>
    <hyperlink r:id="rId587" ref="AB294"/>
    <hyperlink r:id="rId588" ref="AC294"/>
    <hyperlink r:id="rId589" ref="AB295"/>
    <hyperlink r:id="rId590" ref="AB296"/>
    <hyperlink r:id="rId591" ref="AC296"/>
    <hyperlink r:id="rId592" ref="AB297"/>
    <hyperlink r:id="rId593" ref="AB298"/>
    <hyperlink r:id="rId594" ref="AC298"/>
    <hyperlink r:id="rId595" ref="Z299"/>
    <hyperlink r:id="rId596" ref="AB299"/>
    <hyperlink r:id="rId597" ref="AB300"/>
    <hyperlink r:id="rId598" ref="AC300"/>
    <hyperlink r:id="rId599" ref="Z301"/>
    <hyperlink r:id="rId600" ref="AB301"/>
    <hyperlink r:id="rId601" ref="AB302"/>
    <hyperlink r:id="rId602" ref="AB303"/>
    <hyperlink r:id="rId603" ref="AB304"/>
    <hyperlink r:id="rId604" ref="AB305"/>
    <hyperlink r:id="rId605" ref="AB306"/>
    <hyperlink r:id="rId606" ref="AB307"/>
    <hyperlink r:id="rId607" ref="AB308"/>
    <hyperlink r:id="rId608" ref="AC308"/>
    <hyperlink r:id="rId609" ref="AB309"/>
    <hyperlink r:id="rId610" ref="AB310"/>
    <hyperlink r:id="rId611" ref="AB311"/>
    <hyperlink r:id="rId612" ref="AB312"/>
    <hyperlink r:id="rId613" ref="AC312"/>
    <hyperlink r:id="rId614" ref="AB313"/>
    <hyperlink r:id="rId615" ref="AC313"/>
    <hyperlink r:id="rId616" ref="AB314"/>
    <hyperlink r:id="rId617" ref="AB315"/>
    <hyperlink r:id="rId618" ref="AC315"/>
    <hyperlink r:id="rId619" ref="AB316"/>
    <hyperlink r:id="rId620" ref="AC316"/>
    <hyperlink r:id="rId621" ref="AB317"/>
    <hyperlink r:id="rId622" ref="AB318"/>
    <hyperlink r:id="rId623" ref="AB319"/>
    <hyperlink r:id="rId624" ref="AC319"/>
    <hyperlink r:id="rId625" ref="AB320"/>
    <hyperlink r:id="rId626" ref="AC320"/>
    <hyperlink r:id="rId627" ref="AC321"/>
    <hyperlink r:id="rId628" ref="AB322"/>
    <hyperlink r:id="rId629" ref="AB323"/>
    <hyperlink r:id="rId630" ref="AB324"/>
    <hyperlink r:id="rId631" ref="AC324"/>
    <hyperlink r:id="rId632" ref="AB325"/>
    <hyperlink r:id="rId633" ref="AC325"/>
    <hyperlink r:id="rId634" ref="AB326"/>
    <hyperlink r:id="rId635" ref="AB327"/>
    <hyperlink r:id="rId636" ref="AC327"/>
    <hyperlink r:id="rId637" ref="AC328"/>
    <hyperlink r:id="rId638" ref="AB329"/>
    <hyperlink r:id="rId639" ref="AB330"/>
    <hyperlink r:id="rId640" ref="AC330"/>
    <hyperlink r:id="rId641" ref="AB331"/>
    <hyperlink r:id="rId642" ref="AB332"/>
    <hyperlink r:id="rId643" ref="AB333"/>
    <hyperlink r:id="rId644" ref="AB334"/>
    <hyperlink r:id="rId645" ref="AC334"/>
    <hyperlink r:id="rId646" ref="AB335"/>
    <hyperlink r:id="rId647" ref="AB336"/>
    <hyperlink r:id="rId648" ref="AB337"/>
    <hyperlink r:id="rId649" ref="AB338"/>
    <hyperlink r:id="rId650" ref="AC338"/>
    <hyperlink r:id="rId651" ref="AB339"/>
    <hyperlink r:id="rId652" ref="AB340"/>
    <hyperlink r:id="rId653" ref="AC340"/>
    <hyperlink r:id="rId654" ref="AB341"/>
    <hyperlink r:id="rId655" ref="AC341"/>
    <hyperlink r:id="rId656" ref="AB342"/>
    <hyperlink r:id="rId657" ref="AB343"/>
    <hyperlink r:id="rId658" ref="AB344"/>
    <hyperlink r:id="rId659" ref="AC344"/>
    <hyperlink r:id="rId660" ref="AB345"/>
    <hyperlink r:id="rId661" ref="AC345"/>
    <hyperlink r:id="rId662" ref="AB346"/>
    <hyperlink r:id="rId663" ref="AC346"/>
    <hyperlink r:id="rId664" ref="Z347"/>
    <hyperlink r:id="rId665" ref="AB347"/>
    <hyperlink r:id="rId666" ref="AB348"/>
    <hyperlink r:id="rId667" ref="AB349"/>
    <hyperlink r:id="rId668" ref="AC349"/>
    <hyperlink r:id="rId669" ref="AB350"/>
    <hyperlink r:id="rId670" ref="AC350"/>
    <hyperlink r:id="rId671" ref="AB351"/>
    <hyperlink r:id="rId672" ref="AC351"/>
    <hyperlink r:id="rId673" ref="AB352"/>
    <hyperlink r:id="rId674" ref="AC352"/>
    <hyperlink r:id="rId675" ref="AB353"/>
    <hyperlink r:id="rId676" ref="AC353"/>
    <hyperlink r:id="rId677" ref="AB354"/>
    <hyperlink r:id="rId678" ref="AB355"/>
    <hyperlink r:id="rId679" ref="AC355"/>
    <hyperlink r:id="rId680" ref="AB356"/>
    <hyperlink r:id="rId681" ref="AC356"/>
    <hyperlink r:id="rId682" ref="AB357"/>
    <hyperlink r:id="rId683" ref="AC357"/>
    <hyperlink r:id="rId684" ref="AB358"/>
    <hyperlink r:id="rId685" ref="AC358"/>
    <hyperlink r:id="rId686" ref="AB359"/>
    <hyperlink r:id="rId687" ref="AC359"/>
    <hyperlink r:id="rId688" ref="AB360"/>
    <hyperlink r:id="rId689" ref="AC360"/>
    <hyperlink r:id="rId690" ref="AB361"/>
    <hyperlink r:id="rId691" ref="AC361"/>
    <hyperlink r:id="rId692" ref="AB362"/>
    <hyperlink r:id="rId693" ref="AB363"/>
    <hyperlink r:id="rId694" ref="AC363"/>
    <hyperlink r:id="rId695" ref="AB364"/>
    <hyperlink r:id="rId696" ref="AC364"/>
    <hyperlink r:id="rId697" ref="AC365"/>
    <hyperlink r:id="rId698" ref="AB366"/>
    <hyperlink r:id="rId699" ref="AC366"/>
    <hyperlink r:id="rId700" ref="AC367"/>
    <hyperlink r:id="rId701" ref="AC368"/>
    <hyperlink r:id="rId702" ref="AC369"/>
    <hyperlink r:id="rId703" ref="AC370"/>
    <hyperlink r:id="rId704" ref="AB371"/>
    <hyperlink r:id="rId705" ref="AC371"/>
    <hyperlink r:id="rId706" ref="AB372"/>
    <hyperlink r:id="rId707" ref="AC372"/>
    <hyperlink r:id="rId708" ref="AB374"/>
    <hyperlink r:id="rId709" ref="AC374"/>
    <hyperlink r:id="rId710" ref="AB375"/>
    <hyperlink r:id="rId711" ref="AC375"/>
    <hyperlink r:id="rId712" ref="AB376"/>
    <hyperlink r:id="rId713" ref="AC376"/>
    <hyperlink r:id="rId714" ref="AC377"/>
    <hyperlink r:id="rId715" ref="AB378"/>
    <hyperlink r:id="rId716" ref="AC378"/>
    <hyperlink r:id="rId717" ref="AC379"/>
    <hyperlink r:id="rId718" ref="AC380"/>
    <hyperlink r:id="rId719" ref="AC381"/>
    <hyperlink r:id="rId720" ref="AB382"/>
    <hyperlink r:id="rId721" ref="AC382"/>
    <hyperlink r:id="rId722" ref="AB383"/>
    <hyperlink r:id="rId723" ref="AB384"/>
    <hyperlink r:id="rId724" ref="AB385"/>
    <hyperlink r:id="rId725" ref="AB386"/>
    <hyperlink r:id="rId726" ref="AB387"/>
    <hyperlink r:id="rId727" ref="AB388"/>
    <hyperlink r:id="rId728" ref="AB389"/>
    <hyperlink r:id="rId729" ref="AB390"/>
    <hyperlink r:id="rId730" ref="AB391"/>
    <hyperlink r:id="rId731" ref="AB392"/>
    <hyperlink r:id="rId732" ref="AB393"/>
    <hyperlink r:id="rId733" ref="AB394"/>
    <hyperlink r:id="rId734" ref="AB395"/>
    <hyperlink r:id="rId735" ref="AB396"/>
    <hyperlink r:id="rId736" ref="AB397"/>
    <hyperlink r:id="rId737" ref="AB398"/>
    <hyperlink r:id="rId738" ref="AB399"/>
    <hyperlink r:id="rId739" ref="AB400"/>
    <hyperlink r:id="rId740" ref="AB401"/>
    <hyperlink r:id="rId741" ref="AB402"/>
    <hyperlink r:id="rId742" ref="AB403"/>
    <hyperlink r:id="rId743" ref="AB404"/>
    <hyperlink r:id="rId744" ref="AB405"/>
    <hyperlink r:id="rId745" ref="AB406"/>
    <hyperlink r:id="rId746" ref="AB407"/>
    <hyperlink r:id="rId747" ref="AB408"/>
    <hyperlink r:id="rId748" ref="AB409"/>
    <hyperlink r:id="rId749" ref="AB410"/>
    <hyperlink r:id="rId750" ref="AB411"/>
    <hyperlink r:id="rId751" ref="AB412"/>
    <hyperlink r:id="rId752" ref="AB413"/>
    <hyperlink r:id="rId753" ref="AB414"/>
    <hyperlink r:id="rId754" ref="AB415"/>
    <hyperlink r:id="rId755" ref="AB416"/>
    <hyperlink r:id="rId756" ref="AB417"/>
    <hyperlink r:id="rId757" ref="AB418"/>
    <hyperlink r:id="rId758" ref="AB419"/>
    <hyperlink r:id="rId759" ref="AB420"/>
    <hyperlink r:id="rId760" ref="AB421"/>
    <hyperlink r:id="rId761" ref="AB422"/>
    <hyperlink r:id="rId762" ref="AB423"/>
    <hyperlink r:id="rId763" ref="AB424"/>
    <hyperlink r:id="rId764" ref="AB425"/>
    <hyperlink r:id="rId765" ref="AB426"/>
    <hyperlink r:id="rId766" ref="AB427"/>
    <hyperlink r:id="rId767" ref="AB428"/>
    <hyperlink r:id="rId768" ref="AB429"/>
    <hyperlink r:id="rId769" ref="AB430"/>
    <hyperlink r:id="rId770" ref="AB431"/>
    <hyperlink r:id="rId771" ref="AB432"/>
    <hyperlink r:id="rId772" ref="AB433"/>
    <hyperlink r:id="rId773" ref="AB434"/>
    <hyperlink r:id="rId774" ref="AB435"/>
    <hyperlink r:id="rId775" ref="AB436"/>
    <hyperlink r:id="rId776" ref="AB437"/>
    <hyperlink r:id="rId777" ref="AB438"/>
    <hyperlink r:id="rId778" ref="AB439"/>
    <hyperlink r:id="rId779" ref="AB440"/>
    <hyperlink r:id="rId780" ref="AB441"/>
    <hyperlink r:id="rId781" ref="AB442"/>
    <hyperlink r:id="rId782" ref="AB443"/>
    <hyperlink r:id="rId783" ref="AB444"/>
    <hyperlink r:id="rId784" ref="AB445"/>
    <hyperlink r:id="rId785" ref="AB446"/>
    <hyperlink r:id="rId786" ref="AB447"/>
    <hyperlink r:id="rId787" ref="AB448"/>
    <hyperlink r:id="rId788" ref="AB449"/>
    <hyperlink r:id="rId789" ref="AB450"/>
    <hyperlink r:id="rId790" ref="AB451"/>
    <hyperlink r:id="rId791" ref="AB452"/>
    <hyperlink r:id="rId792" ref="AB453"/>
    <hyperlink r:id="rId793" ref="AB454"/>
    <hyperlink r:id="rId794" ref="AB455"/>
    <hyperlink r:id="rId795" ref="AB456"/>
    <hyperlink r:id="rId796" ref="AB457"/>
    <hyperlink r:id="rId797" ref="AB458"/>
    <hyperlink r:id="rId798" ref="AB459"/>
    <hyperlink r:id="rId799" ref="AB460"/>
    <hyperlink r:id="rId800" ref="AB461"/>
    <hyperlink r:id="rId801" ref="AB462"/>
    <hyperlink r:id="rId802" ref="AB463"/>
    <hyperlink r:id="rId803" ref="AB464"/>
    <hyperlink r:id="rId804" ref="AB471"/>
    <hyperlink r:id="rId805" ref="AB472"/>
    <hyperlink r:id="rId806" ref="AB473"/>
    <hyperlink r:id="rId807" ref="AB474"/>
    <hyperlink r:id="rId808" ref="AB475"/>
    <hyperlink r:id="rId809" ref="AB476"/>
    <hyperlink r:id="rId810" ref="AB477"/>
    <hyperlink r:id="rId811" ref="AB478"/>
    <hyperlink r:id="rId812" ref="AB488"/>
    <hyperlink r:id="rId813" ref="AB489"/>
    <hyperlink r:id="rId814" ref="AB494"/>
    <hyperlink r:id="rId815" ref="AB495"/>
    <hyperlink r:id="rId816" ref="AB496"/>
    <hyperlink r:id="rId817" ref="AB497"/>
    <hyperlink r:id="rId818" ref="AB498"/>
    <hyperlink r:id="rId819" ref="Z499"/>
    <hyperlink r:id="rId820" ref="AB499"/>
    <hyperlink r:id="rId821" ref="AB500"/>
    <hyperlink r:id="rId822" ref="AB501"/>
    <hyperlink r:id="rId823" ref="AB502"/>
    <hyperlink r:id="rId824" ref="AB503"/>
    <hyperlink r:id="rId825" ref="AB504"/>
    <hyperlink r:id="rId826" ref="AB505"/>
    <hyperlink r:id="rId827" ref="AB506"/>
    <hyperlink r:id="rId828" ref="AB507"/>
    <hyperlink r:id="rId829" ref="AB508"/>
    <hyperlink r:id="rId830" ref="AB509"/>
    <hyperlink r:id="rId831" ref="AB510"/>
    <hyperlink r:id="rId832" ref="AB511"/>
    <hyperlink r:id="rId833" ref="AB512"/>
    <hyperlink r:id="rId834" ref="AB513"/>
    <hyperlink r:id="rId835" ref="AB514"/>
    <hyperlink r:id="rId836" ref="AB515"/>
    <hyperlink r:id="rId837" ref="AB516"/>
    <hyperlink r:id="rId838" ref="AB517"/>
    <hyperlink r:id="rId839" ref="AB518"/>
    <hyperlink r:id="rId840" ref="AB519"/>
    <hyperlink r:id="rId841" ref="AB520"/>
    <hyperlink r:id="rId842" ref="AB521"/>
    <hyperlink r:id="rId843" ref="AB522"/>
    <hyperlink r:id="rId844" ref="AB523"/>
    <hyperlink r:id="rId845" ref="AB524"/>
    <hyperlink r:id="rId846" ref="AB525"/>
    <hyperlink r:id="rId847" ref="AB526"/>
    <hyperlink r:id="rId848" ref="AB527"/>
    <hyperlink r:id="rId849" ref="AB528"/>
    <hyperlink r:id="rId850" ref="AB529"/>
    <hyperlink r:id="rId851" ref="AB530"/>
    <hyperlink r:id="rId852" ref="AB531"/>
    <hyperlink r:id="rId853" ref="AB532"/>
    <hyperlink r:id="rId854" ref="AB533"/>
    <hyperlink r:id="rId855" ref="AB534"/>
    <hyperlink r:id="rId856" ref="AB535"/>
    <hyperlink r:id="rId857" ref="AB536"/>
    <hyperlink r:id="rId858" ref="AB537"/>
    <hyperlink r:id="rId859" ref="AB538"/>
    <hyperlink r:id="rId860" ref="AB539"/>
    <hyperlink r:id="rId861" ref="AB540"/>
    <hyperlink r:id="rId862" ref="AB541"/>
    <hyperlink r:id="rId863" ref="AB542"/>
    <hyperlink r:id="rId864" ref="AB543"/>
    <hyperlink r:id="rId865" ref="AB544"/>
    <hyperlink r:id="rId866" ref="AB545"/>
    <hyperlink r:id="rId867" ref="AB546"/>
    <hyperlink r:id="rId868" ref="AB547"/>
    <hyperlink r:id="rId869" ref="AB548"/>
    <hyperlink r:id="rId870" ref="AB549"/>
    <hyperlink r:id="rId871" ref="AB550"/>
    <hyperlink r:id="rId872" ref="AB551"/>
    <hyperlink r:id="rId873" ref="AB552"/>
    <hyperlink r:id="rId874" ref="AB553"/>
    <hyperlink r:id="rId875" ref="AB554"/>
    <hyperlink r:id="rId876" location="authors" ref="AB555"/>
    <hyperlink r:id="rId877" ref="AB556"/>
    <hyperlink r:id="rId878" ref="AB557"/>
    <hyperlink r:id="rId879" ref="AB558"/>
    <hyperlink r:id="rId880" ref="AB559"/>
    <hyperlink r:id="rId881" ref="AB560"/>
    <hyperlink r:id="rId882" ref="AB561"/>
    <hyperlink r:id="rId883" ref="AB562"/>
    <hyperlink r:id="rId884" ref="AB563"/>
    <hyperlink r:id="rId885" ref="AB564"/>
    <hyperlink r:id="rId886" ref="AB565"/>
    <hyperlink r:id="rId887" ref="AB566"/>
    <hyperlink r:id="rId888" ref="AB567"/>
    <hyperlink r:id="rId889" ref="AB568"/>
    <hyperlink r:id="rId890" ref="AB569"/>
    <hyperlink r:id="rId891" ref="AB570"/>
    <hyperlink r:id="rId892" ref="AB571"/>
    <hyperlink r:id="rId893" ref="AB572"/>
    <hyperlink r:id="rId894" ref="AB573"/>
    <hyperlink r:id="rId895" ref="AB574"/>
    <hyperlink r:id="rId896" ref="AB575"/>
    <hyperlink r:id="rId897" ref="AB576"/>
    <hyperlink r:id="rId898" ref="AB577"/>
    <hyperlink r:id="rId899" ref="AB578"/>
    <hyperlink r:id="rId900" ref="AB579"/>
    <hyperlink r:id="rId901" ref="AB580"/>
    <hyperlink r:id="rId902" ref="AB581"/>
    <hyperlink r:id="rId903" ref="AB582"/>
    <hyperlink r:id="rId904" ref="AB583"/>
    <hyperlink r:id="rId905" ref="AB584"/>
    <hyperlink r:id="rId906" ref="AB585"/>
    <hyperlink r:id="rId907" ref="AB586"/>
    <hyperlink r:id="rId908" ref="AB587"/>
    <hyperlink r:id="rId909" ref="AB588"/>
    <hyperlink r:id="rId910" ref="AB589"/>
    <hyperlink r:id="rId911" ref="AB590"/>
    <hyperlink r:id="rId912" ref="AB591"/>
    <hyperlink r:id="rId913" ref="AB592"/>
    <hyperlink r:id="rId914" ref="AB593"/>
    <hyperlink r:id="rId915" ref="AB596"/>
    <hyperlink r:id="rId916" ref="AB598"/>
    <hyperlink r:id="rId917" ref="AB599"/>
    <hyperlink r:id="rId918" ref="AB602"/>
    <hyperlink r:id="rId919" ref="AB603"/>
    <hyperlink r:id="rId920" ref="AB606"/>
    <hyperlink r:id="rId921" ref="AB607"/>
    <hyperlink r:id="rId922" ref="AB608"/>
    <hyperlink r:id="rId923" ref="AB609"/>
    <hyperlink r:id="rId924" ref="AB610"/>
    <hyperlink r:id="rId925" ref="AB612"/>
    <hyperlink r:id="rId926" ref="AB614"/>
    <hyperlink r:id="rId927" ref="AB615"/>
    <hyperlink r:id="rId928" ref="AB616"/>
    <hyperlink r:id="rId929" ref="AB617"/>
    <hyperlink r:id="rId930" ref="AB618"/>
    <hyperlink r:id="rId931" ref="AB619"/>
    <hyperlink r:id="rId932" ref="AC619"/>
    <hyperlink r:id="rId933" ref="AC620"/>
    <hyperlink r:id="rId934" ref="AC621"/>
    <hyperlink r:id="rId935" ref="AC622"/>
    <hyperlink r:id="rId936" ref="AB623"/>
    <hyperlink r:id="rId937" ref="AC623"/>
    <hyperlink r:id="rId938" ref="AC624"/>
    <hyperlink r:id="rId939" ref="AC625"/>
    <hyperlink r:id="rId940" ref="AC626"/>
    <hyperlink r:id="rId941" ref="AB627"/>
    <hyperlink r:id="rId942" ref="AC627"/>
    <hyperlink r:id="rId943" ref="AB628"/>
    <hyperlink r:id="rId944" ref="AC628"/>
    <hyperlink r:id="rId945" ref="AC629"/>
    <hyperlink r:id="rId946" ref="AC630"/>
    <hyperlink r:id="rId947" ref="AC631"/>
    <hyperlink r:id="rId948" ref="AC632"/>
    <hyperlink r:id="rId949" ref="AC633"/>
    <hyperlink r:id="rId950" ref="AC634"/>
    <hyperlink r:id="rId951" ref="AC635"/>
    <hyperlink r:id="rId952" ref="AC636"/>
    <hyperlink r:id="rId953" ref="AC637"/>
    <hyperlink r:id="rId954" ref="AC638"/>
    <hyperlink r:id="rId955" ref="AC639"/>
    <hyperlink r:id="rId956" ref="AC640"/>
    <hyperlink r:id="rId957" ref="AC641"/>
    <hyperlink r:id="rId958" ref="AB643"/>
    <hyperlink r:id="rId959" ref="AB644"/>
    <hyperlink r:id="rId960" ref="AB645"/>
    <hyperlink r:id="rId961" ref="AB646"/>
    <hyperlink r:id="rId962" ref="AC646"/>
    <hyperlink r:id="rId963" ref="AB647"/>
    <hyperlink r:id="rId964" ref="AC647"/>
    <hyperlink r:id="rId965" ref="AB649"/>
    <hyperlink r:id="rId966" ref="AC649"/>
    <hyperlink r:id="rId967" ref="AB650"/>
    <hyperlink r:id="rId968" ref="AC650"/>
    <hyperlink r:id="rId969" ref="AB652"/>
    <hyperlink r:id="rId970" ref="AB653"/>
    <hyperlink r:id="rId971" ref="AC653"/>
  </hyperlinks>
  <printOptions/>
  <pageMargins bottom="0.75" footer="0.0" header="0.0" left="0.7" right="0.7" top="0.75"/>
  <pageSetup orientation="landscape"/>
  <drawing r:id="rId97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1.22" defaultRowHeight="15.0"/>
  <cols>
    <col customWidth="1" min="1" max="1" width="3.0"/>
    <col customWidth="1" min="2" max="2" width="11.67"/>
    <col customWidth="1" min="3" max="3" width="12.11"/>
    <col customWidth="1" min="4" max="4" width="2.67"/>
    <col customWidth="1" min="5" max="5" width="24.33"/>
    <col customWidth="1" min="6" max="6" width="19.89"/>
    <col customWidth="1" min="7" max="14" width="17.78"/>
    <col customWidth="1" min="15" max="15" width="16.11"/>
    <col customWidth="1" min="16" max="16" width="10.56"/>
    <col customWidth="1" min="17" max="17" width="8.22"/>
    <col customWidth="1" min="18" max="18" width="11.22"/>
    <col customWidth="1" min="19" max="19" width="13.44"/>
    <col customWidth="1" min="20" max="20" width="12.44"/>
    <col customWidth="1" min="21" max="21" width="10.22"/>
    <col customWidth="1" min="22" max="22" width="11.67"/>
    <col customWidth="1" min="23" max="23" width="10.89"/>
    <col customWidth="1" min="24" max="24" width="18.11"/>
    <col customWidth="1" min="25" max="25" width="45.56"/>
    <col customWidth="1" min="26" max="26" width="6.22"/>
    <col customWidth="1" hidden="1" min="27" max="30" width="6.22"/>
    <col customWidth="1" min="31" max="50" width="6.22"/>
  </cols>
  <sheetData>
    <row r="1">
      <c r="A1" s="210" t="s">
        <v>466</v>
      </c>
    </row>
    <row r="4" ht="15.75" customHeight="1">
      <c r="A4" s="211" t="s">
        <v>1</v>
      </c>
      <c r="B4" s="3"/>
      <c r="C4" s="3"/>
      <c r="D4" s="4"/>
      <c r="E4" s="212" t="s">
        <v>2</v>
      </c>
      <c r="F4" s="6"/>
      <c r="G4" s="213" t="s">
        <v>467</v>
      </c>
      <c r="H4" s="13"/>
      <c r="I4" s="13"/>
      <c r="J4" s="13"/>
      <c r="K4" s="13"/>
      <c r="L4" s="13"/>
      <c r="M4" s="13"/>
      <c r="N4" s="14"/>
      <c r="R4" s="214" t="s">
        <v>468</v>
      </c>
      <c r="S4" s="14"/>
      <c r="T4" s="214" t="s">
        <v>469</v>
      </c>
      <c r="U4" s="14"/>
      <c r="V4" s="215" t="s">
        <v>470</v>
      </c>
      <c r="W4" s="216"/>
      <c r="X4" s="217"/>
    </row>
    <row r="5" ht="15.75" customHeight="1">
      <c r="A5" s="218" t="s">
        <v>5</v>
      </c>
      <c r="B5" s="219" t="s">
        <v>6</v>
      </c>
      <c r="C5" s="219" t="s">
        <v>7</v>
      </c>
      <c r="D5" s="219"/>
      <c r="E5" s="220" t="s">
        <v>9</v>
      </c>
      <c r="F5" s="220" t="s">
        <v>10</v>
      </c>
      <c r="G5" s="220">
        <v>1.0</v>
      </c>
      <c r="H5" s="220">
        <v>2.0</v>
      </c>
      <c r="I5" s="220">
        <v>3.0</v>
      </c>
      <c r="J5" s="220">
        <v>4.0</v>
      </c>
      <c r="K5" s="220">
        <v>5.0</v>
      </c>
      <c r="L5" s="220">
        <v>6.0</v>
      </c>
      <c r="M5" s="220">
        <v>7.0</v>
      </c>
      <c r="N5" s="220">
        <v>8.0</v>
      </c>
      <c r="O5" s="221" t="s">
        <v>11</v>
      </c>
      <c r="P5" s="220" t="s">
        <v>13</v>
      </c>
      <c r="Q5" s="220" t="s">
        <v>12</v>
      </c>
      <c r="R5" s="222" t="s">
        <v>5</v>
      </c>
      <c r="S5" s="222" t="s">
        <v>471</v>
      </c>
      <c r="T5" s="222" t="s">
        <v>5</v>
      </c>
      <c r="U5" s="222" t="s">
        <v>471</v>
      </c>
      <c r="V5" s="223" t="s">
        <v>472</v>
      </c>
      <c r="W5" s="224" t="s">
        <v>473</v>
      </c>
      <c r="X5" s="225" t="s">
        <v>474</v>
      </c>
      <c r="Y5" s="226" t="s">
        <v>20</v>
      </c>
    </row>
    <row r="6" ht="37.5" customHeight="1">
      <c r="A6" s="227">
        <v>1.0</v>
      </c>
      <c r="B6" s="228">
        <f t="shared" ref="B6:B17" si="1">IF(E6&lt;&gt;"",IF(B6="",NOW(),B6),"")</f>
        <v>45444.68953</v>
      </c>
      <c r="C6" s="139"/>
      <c r="D6" s="229"/>
      <c r="E6" s="36" t="s">
        <v>475</v>
      </c>
      <c r="F6" s="230" t="s">
        <v>46</v>
      </c>
      <c r="G6" s="231" t="s">
        <v>47</v>
      </c>
      <c r="H6" s="231" t="s">
        <v>179</v>
      </c>
      <c r="I6" s="232"/>
      <c r="J6" s="232"/>
      <c r="K6" s="232"/>
      <c r="L6" s="232"/>
      <c r="M6" s="232"/>
      <c r="N6" s="232"/>
      <c r="O6" s="231" t="s">
        <v>476</v>
      </c>
      <c r="P6" s="233" t="s">
        <v>477</v>
      </c>
      <c r="Q6" s="233" t="s">
        <v>478</v>
      </c>
      <c r="R6" s="233" t="s">
        <v>479</v>
      </c>
      <c r="S6" s="234">
        <v>45503.0</v>
      </c>
      <c r="T6" s="233" t="s">
        <v>479</v>
      </c>
      <c r="U6" s="234">
        <v>45511.0</v>
      </c>
      <c r="V6" s="37" t="s">
        <v>480</v>
      </c>
      <c r="W6" s="231" t="s">
        <v>481</v>
      </c>
      <c r="X6" s="232"/>
      <c r="Y6" s="235"/>
      <c r="Z6" s="236"/>
      <c r="AA6" s="42" t="str">
        <f>IFERROR(__xludf.DUMMYFUNCTION("IMPORTRANGE(""https://docs.google.com/spreadsheets/d/1uREY05dC3v6oTR1bLI-b3VlRJk1GrRaib0uwUj-1r_A/edit"", ""KI!B3:E800"")"),"ALAT PEMBERI PAKAN IKAN OTOMATIS DENGAN RODA GIGI TERMODIFIKASI")</f>
        <v>ALAT PEMBERI PAKAN IKAN OTOMATIS DENGAN RODA GIGI TERMODIFIKASI</v>
      </c>
      <c r="AB6" s="42" t="str">
        <f>IFERROR(__xludf.DUMMYFUNCTION("""COMPUTED_VALUE"""),"Terdaftar DJKI")</f>
        <v>Terdaftar DJKI</v>
      </c>
      <c r="AC6" s="42" t="str">
        <f>IFERROR(__xludf.DUMMYFUNCTION("""COMPUTED_VALUE"""),"P00202215109")</f>
        <v>P00202215109</v>
      </c>
      <c r="AD6" s="236"/>
      <c r="AE6" s="236"/>
      <c r="AF6" s="236"/>
      <c r="AG6" s="236"/>
      <c r="AH6" s="236"/>
      <c r="AI6" s="236"/>
      <c r="AJ6" s="236"/>
      <c r="AK6" s="236"/>
      <c r="AL6" s="236"/>
      <c r="AM6" s="236"/>
      <c r="AN6" s="236"/>
      <c r="AO6" s="236"/>
      <c r="AP6" s="236"/>
      <c r="AQ6" s="236"/>
      <c r="AR6" s="236"/>
      <c r="AS6" s="236"/>
      <c r="AT6" s="236"/>
      <c r="AU6" s="236"/>
      <c r="AV6" s="236"/>
      <c r="AW6" s="236"/>
      <c r="AX6" s="236"/>
    </row>
    <row r="7" ht="45.75" customHeight="1">
      <c r="A7" s="237">
        <v>2.0</v>
      </c>
      <c r="B7" s="238">
        <f t="shared" si="1"/>
        <v>45444.54985</v>
      </c>
      <c r="C7" s="239"/>
      <c r="D7" s="240"/>
      <c r="E7" s="241" t="s">
        <v>482</v>
      </c>
      <c r="F7" s="242" t="s">
        <v>34</v>
      </c>
      <c r="G7" s="243" t="s">
        <v>35</v>
      </c>
      <c r="H7" s="243" t="s">
        <v>208</v>
      </c>
      <c r="I7" s="243" t="s">
        <v>65</v>
      </c>
      <c r="J7" s="244"/>
      <c r="K7" s="244"/>
      <c r="L7" s="244"/>
      <c r="M7" s="244"/>
      <c r="N7" s="244"/>
      <c r="O7" s="243" t="s">
        <v>483</v>
      </c>
      <c r="P7" s="245" t="s">
        <v>484</v>
      </c>
      <c r="Q7" s="245" t="s">
        <v>478</v>
      </c>
      <c r="R7" s="246"/>
      <c r="S7" s="247"/>
      <c r="T7" s="248" t="s">
        <v>485</v>
      </c>
      <c r="U7" s="249">
        <v>45412.0</v>
      </c>
      <c r="V7" s="95" t="s">
        <v>480</v>
      </c>
      <c r="W7" s="250" t="s">
        <v>481</v>
      </c>
      <c r="X7" s="243"/>
      <c r="Y7" s="245" t="s">
        <v>486</v>
      </c>
      <c r="Z7" s="251"/>
      <c r="AA7" s="252" t="str">
        <f>IFERROR(__xludf.DUMMYFUNCTION("""COMPUTED_VALUE"""),"Sistem Inventarisasi Muatan Kontainer Pada Kapal Dengan Derek Gantri")</f>
        <v>Sistem Inventarisasi Muatan Kontainer Pada Kapal Dengan Derek Gantri</v>
      </c>
      <c r="AB7" s="253" t="str">
        <f>IFERROR(__xludf.DUMMYFUNCTION("""COMPUTED_VALUE"""),"Terdaftar DJKI")</f>
        <v>Terdaftar DJKI</v>
      </c>
      <c r="AC7" s="253" t="str">
        <f>IFERROR(__xludf.DUMMYFUNCTION("""COMPUTED_VALUE"""),"P00202215401")</f>
        <v>P00202215401</v>
      </c>
      <c r="AD7" s="251"/>
      <c r="AE7" s="251"/>
      <c r="AF7" s="251"/>
      <c r="AG7" s="251"/>
      <c r="AH7" s="251"/>
      <c r="AI7" s="251"/>
      <c r="AJ7" s="251"/>
      <c r="AK7" s="251"/>
      <c r="AL7" s="251"/>
      <c r="AM7" s="251"/>
      <c r="AN7" s="251"/>
      <c r="AO7" s="251"/>
      <c r="AP7" s="251"/>
      <c r="AQ7" s="251"/>
      <c r="AR7" s="251"/>
      <c r="AS7" s="251"/>
      <c r="AT7" s="251"/>
      <c r="AU7" s="251"/>
      <c r="AV7" s="251"/>
      <c r="AW7" s="251"/>
      <c r="AX7" s="251"/>
    </row>
    <row r="8" ht="37.5" customHeight="1">
      <c r="A8" s="227">
        <v>3.0</v>
      </c>
      <c r="B8" s="228">
        <f t="shared" si="1"/>
        <v>45444.69279</v>
      </c>
      <c r="C8" s="139"/>
      <c r="D8" s="229"/>
      <c r="E8" s="254" t="s">
        <v>487</v>
      </c>
      <c r="F8" s="255" t="s">
        <v>34</v>
      </c>
      <c r="G8" s="231" t="s">
        <v>37</v>
      </c>
      <c r="H8" s="231" t="s">
        <v>35</v>
      </c>
      <c r="I8" s="231" t="s">
        <v>39</v>
      </c>
      <c r="J8" s="231" t="s">
        <v>38</v>
      </c>
      <c r="K8" s="231" t="s">
        <v>40</v>
      </c>
      <c r="L8" s="231" t="s">
        <v>405</v>
      </c>
      <c r="M8" s="232"/>
      <c r="N8" s="232"/>
      <c r="O8" s="231" t="s">
        <v>488</v>
      </c>
      <c r="P8" s="233" t="s">
        <v>215</v>
      </c>
      <c r="Q8" s="233" t="s">
        <v>478</v>
      </c>
      <c r="R8" s="256"/>
      <c r="S8" s="257"/>
      <c r="T8" s="256"/>
      <c r="U8" s="257"/>
      <c r="V8" s="37" t="s">
        <v>480</v>
      </c>
      <c r="W8" s="258" t="s">
        <v>489</v>
      </c>
      <c r="X8" s="259"/>
      <c r="Y8" s="260"/>
      <c r="Z8" s="236"/>
      <c r="AA8" s="51" t="str">
        <f>IFERROR(__xludf.DUMMYFUNCTION("""COMPUTED_VALUE"""),"SISTEM, KATUP EKSPIRASI, DAN METODE UNTUK MENGONTROL POSITIVE END EXPIRATORY PRESSURE DAN PEAK INSPIRATORY PRESSURE PADA VENTILATOR MEKANIS")</f>
        <v>SISTEM, KATUP EKSPIRASI, DAN METODE UNTUK MENGONTROL POSITIVE END EXPIRATORY PRESSURE DAN PEAK INSPIRATORY PRESSURE PADA VENTILATOR MEKANIS</v>
      </c>
      <c r="AB8" s="51" t="str">
        <f>IFERROR(__xludf.DUMMYFUNCTION("""COMPUTED_VALUE"""),"Terdaftar DJKI")</f>
        <v>Terdaftar DJKI</v>
      </c>
      <c r="AC8" s="51" t="str">
        <f>IFERROR(__xludf.DUMMYFUNCTION("""COMPUTED_VALUE"""),"P00202215522")</f>
        <v>P00202215522</v>
      </c>
      <c r="AD8" s="236"/>
      <c r="AE8" s="236"/>
      <c r="AF8" s="236"/>
      <c r="AG8" s="236"/>
      <c r="AH8" s="236"/>
      <c r="AI8" s="236"/>
      <c r="AJ8" s="236"/>
      <c r="AK8" s="236"/>
      <c r="AL8" s="236"/>
      <c r="AM8" s="236"/>
      <c r="AN8" s="236"/>
      <c r="AO8" s="236"/>
      <c r="AP8" s="236"/>
      <c r="AQ8" s="236"/>
      <c r="AR8" s="236"/>
      <c r="AS8" s="236"/>
      <c r="AT8" s="236"/>
      <c r="AU8" s="236"/>
      <c r="AV8" s="236"/>
      <c r="AW8" s="236"/>
      <c r="AX8" s="236"/>
    </row>
    <row r="9" ht="37.5" customHeight="1">
      <c r="A9" s="227">
        <v>4.0</v>
      </c>
      <c r="B9" s="228">
        <f t="shared" si="1"/>
        <v>45445.61602</v>
      </c>
      <c r="C9" s="139"/>
      <c r="D9" s="229"/>
      <c r="E9" s="254" t="s">
        <v>490</v>
      </c>
      <c r="F9" s="255" t="s">
        <v>46</v>
      </c>
      <c r="G9" s="233" t="s">
        <v>178</v>
      </c>
      <c r="H9" s="233" t="s">
        <v>125</v>
      </c>
      <c r="I9" s="233" t="s">
        <v>88</v>
      </c>
      <c r="J9" s="233" t="s">
        <v>208</v>
      </c>
      <c r="K9" s="233" t="s">
        <v>35</v>
      </c>
      <c r="L9" s="233" t="s">
        <v>40</v>
      </c>
      <c r="M9" s="256"/>
      <c r="N9" s="256"/>
      <c r="O9" s="231" t="s">
        <v>491</v>
      </c>
      <c r="P9" s="233" t="s">
        <v>127</v>
      </c>
      <c r="Q9" s="233" t="s">
        <v>478</v>
      </c>
      <c r="R9" s="256"/>
      <c r="S9" s="257"/>
      <c r="T9" s="256"/>
      <c r="U9" s="257"/>
      <c r="V9" s="37" t="s">
        <v>480</v>
      </c>
      <c r="W9" s="258" t="s">
        <v>489</v>
      </c>
      <c r="X9" s="232"/>
      <c r="Y9" s="261"/>
      <c r="Z9" s="236"/>
      <c r="AA9" s="51" t="str">
        <f>IFERROR(__xludf.DUMMYFUNCTION("""COMPUTED_VALUE"""),"SISTEM DAN METODA UNTUK MEMPREDIKSI PARAMETER VENTILASI PADA VENTILATOR MEKANIK DENGAN
 MENGGUNAKAN DATA VITAL SIGN MONITOR")</f>
        <v>SISTEM DAN METODA UNTUK MEMPREDIKSI PARAMETER VENTILASI PADA VENTILATOR MEKANIK DENGAN
 MENGGUNAKAN DATA VITAL SIGN MONITOR</v>
      </c>
      <c r="AB9" s="51" t="str">
        <f>IFERROR(__xludf.DUMMYFUNCTION("""COMPUTED_VALUE"""),"Terdaftar DJKI")</f>
        <v>Terdaftar DJKI</v>
      </c>
      <c r="AC9" s="51" t="str">
        <f>IFERROR(__xludf.DUMMYFUNCTION("""COMPUTED_VALUE"""),"P00202215524")</f>
        <v>P00202215524</v>
      </c>
      <c r="AD9" s="236"/>
      <c r="AE9" s="236"/>
      <c r="AF9" s="236"/>
      <c r="AG9" s="236"/>
      <c r="AH9" s="236"/>
      <c r="AI9" s="236"/>
      <c r="AJ9" s="236"/>
      <c r="AK9" s="236"/>
      <c r="AL9" s="236"/>
      <c r="AM9" s="236"/>
      <c r="AN9" s="236"/>
      <c r="AO9" s="236"/>
      <c r="AP9" s="236"/>
      <c r="AQ9" s="236"/>
      <c r="AR9" s="236"/>
      <c r="AS9" s="236"/>
      <c r="AT9" s="236"/>
      <c r="AU9" s="236"/>
      <c r="AV9" s="236"/>
      <c r="AW9" s="236"/>
      <c r="AX9" s="236"/>
    </row>
    <row r="10" ht="37.5" customHeight="1">
      <c r="A10" s="227">
        <v>5.0</v>
      </c>
      <c r="B10" s="228">
        <f t="shared" si="1"/>
        <v>45446.3235</v>
      </c>
      <c r="C10" s="139"/>
      <c r="D10" s="229"/>
      <c r="E10" s="262" t="s">
        <v>492</v>
      </c>
      <c r="F10" s="255" t="s">
        <v>108</v>
      </c>
      <c r="G10" s="231" t="s">
        <v>126</v>
      </c>
      <c r="H10" s="263" t="s">
        <v>493</v>
      </c>
      <c r="I10" s="232"/>
      <c r="J10" s="232"/>
      <c r="K10" s="232"/>
      <c r="L10" s="232"/>
      <c r="M10" s="232"/>
      <c r="N10" s="232"/>
      <c r="O10" s="231" t="s">
        <v>494</v>
      </c>
      <c r="P10" s="233" t="s">
        <v>127</v>
      </c>
      <c r="Q10" s="233" t="s">
        <v>478</v>
      </c>
      <c r="R10" s="256"/>
      <c r="S10" s="257"/>
      <c r="T10" s="256"/>
      <c r="U10" s="257"/>
      <c r="V10" s="37" t="s">
        <v>480</v>
      </c>
      <c r="W10" s="258" t="s">
        <v>489</v>
      </c>
      <c r="X10" s="231"/>
      <c r="Y10" s="231" t="s">
        <v>495</v>
      </c>
      <c r="Z10" s="236"/>
      <c r="AA10" s="51" t="str">
        <f>IFERROR(__xludf.DUMMYFUNCTION("""COMPUTED_VALUE"""),"SISTEM PEMANAS AIR BERBASIS PELTIER DENGAN PENGATUR KECEPATAN POMPA AIR")</f>
        <v>SISTEM PEMANAS AIR BERBASIS PELTIER DENGAN PENGATUR KECEPATAN POMPA AIR</v>
      </c>
      <c r="AB10" s="51" t="str">
        <f>IFERROR(__xludf.DUMMYFUNCTION("""COMPUTED_VALUE"""),"Terdaftar DJKI")</f>
        <v>Terdaftar DJKI</v>
      </c>
      <c r="AC10" s="51" t="str">
        <f>IFERROR(__xludf.DUMMYFUNCTION("""COMPUTED_VALUE"""),"S00202215615")</f>
        <v>S00202215615</v>
      </c>
      <c r="AD10" s="236"/>
      <c r="AE10" s="236"/>
      <c r="AF10" s="236"/>
      <c r="AG10" s="236"/>
      <c r="AH10" s="236"/>
      <c r="AI10" s="236"/>
      <c r="AJ10" s="236"/>
      <c r="AK10" s="236"/>
      <c r="AL10" s="236"/>
      <c r="AM10" s="236"/>
      <c r="AN10" s="236"/>
      <c r="AO10" s="236"/>
      <c r="AP10" s="236"/>
      <c r="AQ10" s="236"/>
      <c r="AR10" s="236"/>
      <c r="AS10" s="236"/>
      <c r="AT10" s="236"/>
      <c r="AU10" s="236"/>
      <c r="AV10" s="236"/>
      <c r="AW10" s="236"/>
      <c r="AX10" s="236"/>
    </row>
    <row r="11" ht="37.5" customHeight="1">
      <c r="A11" s="227">
        <v>6.0</v>
      </c>
      <c r="B11" s="228">
        <f t="shared" si="1"/>
        <v>45455.43041</v>
      </c>
      <c r="C11" s="139"/>
      <c r="D11" s="229"/>
      <c r="E11" s="254" t="s">
        <v>496</v>
      </c>
      <c r="F11" s="255" t="s">
        <v>108</v>
      </c>
      <c r="G11" s="233" t="s">
        <v>119</v>
      </c>
      <c r="H11" s="233" t="s">
        <v>124</v>
      </c>
      <c r="I11" s="233" t="s">
        <v>125</v>
      </c>
      <c r="J11" s="233" t="s">
        <v>36</v>
      </c>
      <c r="K11" s="233" t="s">
        <v>76</v>
      </c>
      <c r="L11" s="233" t="s">
        <v>217</v>
      </c>
      <c r="M11" s="256"/>
      <c r="N11" s="256"/>
      <c r="O11" s="232"/>
      <c r="P11" s="233" t="s">
        <v>215</v>
      </c>
      <c r="Q11" s="233" t="s">
        <v>478</v>
      </c>
      <c r="R11" s="256"/>
      <c r="S11" s="257"/>
      <c r="T11" s="256"/>
      <c r="U11" s="257"/>
      <c r="V11" s="37" t="s">
        <v>480</v>
      </c>
      <c r="W11" s="264"/>
      <c r="X11" s="232"/>
      <c r="Y11" s="261"/>
      <c r="Z11" s="236"/>
      <c r="AA11" s="51" t="str">
        <f>IFERROR(__xludf.DUMMYFUNCTION("""COMPUTED_VALUE"""),"SISTEM, PERANGKAT AKUISISI DATA TELEMEDIS, DAN METODA UNTUK LAYANAN TELEMEDIS TERPADU")</f>
        <v>SISTEM, PERANGKAT AKUISISI DATA TELEMEDIS, DAN METODA UNTUK LAYANAN TELEMEDIS TERPADU</v>
      </c>
      <c r="AB11" s="51" t="str">
        <f>IFERROR(__xludf.DUMMYFUNCTION("""COMPUTED_VALUE"""),"Terdaftar DJKI")</f>
        <v>Terdaftar DJKI</v>
      </c>
      <c r="AC11" s="51" t="str">
        <f>IFERROR(__xludf.DUMMYFUNCTION("""COMPUTED_VALUE"""),"P00202215700")</f>
        <v>P00202215700</v>
      </c>
      <c r="AD11" s="236"/>
      <c r="AE11" s="236"/>
      <c r="AF11" s="236"/>
      <c r="AG11" s="236"/>
      <c r="AH11" s="236"/>
      <c r="AI11" s="236"/>
      <c r="AJ11" s="236"/>
      <c r="AK11" s="236"/>
      <c r="AL11" s="236"/>
      <c r="AM11" s="236"/>
      <c r="AN11" s="236"/>
      <c r="AO11" s="236"/>
      <c r="AP11" s="236"/>
      <c r="AQ11" s="236"/>
      <c r="AR11" s="236"/>
      <c r="AS11" s="236"/>
      <c r="AT11" s="236"/>
      <c r="AU11" s="236"/>
      <c r="AV11" s="236"/>
      <c r="AW11" s="236"/>
      <c r="AX11" s="236"/>
    </row>
    <row r="12" ht="37.5" customHeight="1">
      <c r="A12" s="227">
        <v>7.0</v>
      </c>
      <c r="B12" s="228">
        <f t="shared" si="1"/>
        <v>45456.31082</v>
      </c>
      <c r="C12" s="139"/>
      <c r="D12" s="229"/>
      <c r="E12" s="254" t="s">
        <v>497</v>
      </c>
      <c r="F12" s="265" t="s">
        <v>46</v>
      </c>
      <c r="G12" s="266" t="s">
        <v>132</v>
      </c>
      <c r="H12" s="266" t="s">
        <v>179</v>
      </c>
      <c r="I12" s="266" t="s">
        <v>177</v>
      </c>
      <c r="J12" s="266" t="s">
        <v>178</v>
      </c>
      <c r="K12" s="267"/>
      <c r="L12" s="267"/>
      <c r="M12" s="267"/>
      <c r="N12" s="267"/>
      <c r="O12" s="268" t="s">
        <v>498</v>
      </c>
      <c r="P12" s="266" t="s">
        <v>127</v>
      </c>
      <c r="Q12" s="266" t="s">
        <v>499</v>
      </c>
      <c r="R12" s="267"/>
      <c r="S12" s="257"/>
      <c r="T12" s="267"/>
      <c r="U12" s="257"/>
      <c r="V12" s="37" t="s">
        <v>480</v>
      </c>
      <c r="W12" s="264"/>
      <c r="X12" s="232"/>
      <c r="Y12" s="261"/>
      <c r="Z12" s="236"/>
      <c r="AA12" s="51" t="str">
        <f>IFERROR(__xludf.DUMMYFUNCTION("""COMPUTED_VALUE"""),"SisMonSBNP versi 1.0")</f>
        <v>SisMonSBNP versi 1.0</v>
      </c>
      <c r="AB12" s="51" t="str">
        <f>IFERROR(__xludf.DUMMYFUNCTION("""COMPUTED_VALUE"""),"Tersertifikasi")</f>
        <v>Tersertifikasi</v>
      </c>
      <c r="AC12" s="51" t="str">
        <f>IFERROR(__xludf.DUMMYFUNCTION("""COMPUTED_VALUE"""),"EC00202386469")</f>
        <v>EC00202386469</v>
      </c>
      <c r="AD12" s="236"/>
      <c r="AE12" s="236"/>
      <c r="AF12" s="236"/>
      <c r="AG12" s="236"/>
      <c r="AH12" s="236"/>
      <c r="AI12" s="236"/>
      <c r="AJ12" s="236"/>
      <c r="AK12" s="236"/>
      <c r="AL12" s="236"/>
      <c r="AM12" s="236"/>
      <c r="AN12" s="236"/>
      <c r="AO12" s="236"/>
      <c r="AP12" s="236"/>
      <c r="AQ12" s="236"/>
      <c r="AR12" s="236"/>
      <c r="AS12" s="236"/>
      <c r="AT12" s="236"/>
      <c r="AU12" s="236"/>
      <c r="AV12" s="236"/>
      <c r="AW12" s="236"/>
      <c r="AX12" s="236"/>
    </row>
    <row r="13" ht="37.5" hidden="1" customHeight="1">
      <c r="A13" s="227">
        <v>8.0</v>
      </c>
      <c r="B13" s="228">
        <f t="shared" si="1"/>
        <v>45457.48116</v>
      </c>
      <c r="C13" s="140" t="s">
        <v>156</v>
      </c>
      <c r="D13" s="229"/>
      <c r="E13" s="269" t="s">
        <v>500</v>
      </c>
      <c r="F13" s="265" t="s">
        <v>23</v>
      </c>
      <c r="G13" s="266" t="s">
        <v>329</v>
      </c>
      <c r="H13" s="266" t="s">
        <v>208</v>
      </c>
      <c r="I13" s="267"/>
      <c r="J13" s="267"/>
      <c r="K13" s="267"/>
      <c r="L13" s="267"/>
      <c r="M13" s="267"/>
      <c r="N13" s="267"/>
      <c r="O13" s="268" t="s">
        <v>501</v>
      </c>
      <c r="P13" s="266" t="s">
        <v>484</v>
      </c>
      <c r="Q13" s="266" t="s">
        <v>478</v>
      </c>
      <c r="R13" s="266" t="s">
        <v>502</v>
      </c>
      <c r="S13" s="234">
        <v>45441.0</v>
      </c>
      <c r="T13" s="270">
        <v>618127.0</v>
      </c>
      <c r="U13" s="234">
        <v>45441.0</v>
      </c>
      <c r="V13" s="37" t="s">
        <v>480</v>
      </c>
      <c r="W13" s="258" t="s">
        <v>481</v>
      </c>
      <c r="X13" s="271" t="s">
        <v>503</v>
      </c>
      <c r="Y13" s="261"/>
      <c r="Z13" s="236"/>
      <c r="AA13" s="51" t="str">
        <f>IFERROR(__xludf.DUMMYFUNCTION("""COMPUTED_VALUE"""),"KONTAINER PORTABEL UNTUK PEMANTAUAN DAN PENGENDALIAN KUALITAS MAKANAN")</f>
        <v>KONTAINER PORTABEL UNTUK PEMANTAUAN DAN PENGENDALIAN KUALITAS MAKANAN</v>
      </c>
      <c r="AB13" s="51" t="str">
        <f>IFERROR(__xludf.DUMMYFUNCTION("""COMPUTED_VALUE"""),"Terdaftar DJKI")</f>
        <v>Terdaftar DJKI</v>
      </c>
      <c r="AC13" s="51" t="str">
        <f>IFERROR(__xludf.DUMMYFUNCTION("""COMPUTED_VALUE"""),"P00202301750")</f>
        <v>P00202301750</v>
      </c>
      <c r="AD13" s="236"/>
      <c r="AE13" s="236"/>
      <c r="AF13" s="236"/>
      <c r="AG13" s="236"/>
      <c r="AH13" s="236"/>
      <c r="AI13" s="236"/>
      <c r="AJ13" s="236"/>
      <c r="AK13" s="236"/>
      <c r="AL13" s="236"/>
      <c r="AM13" s="236"/>
      <c r="AN13" s="236"/>
      <c r="AO13" s="236"/>
      <c r="AP13" s="236"/>
      <c r="AQ13" s="236"/>
      <c r="AR13" s="236"/>
      <c r="AS13" s="236"/>
      <c r="AT13" s="236"/>
      <c r="AU13" s="236"/>
      <c r="AV13" s="236"/>
      <c r="AW13" s="236"/>
      <c r="AX13" s="236"/>
    </row>
    <row r="14" ht="37.5" hidden="1" customHeight="1">
      <c r="A14" s="227">
        <v>9.0</v>
      </c>
      <c r="B14" s="228">
        <f t="shared" si="1"/>
        <v>45467.38273</v>
      </c>
      <c r="C14" s="140" t="s">
        <v>206</v>
      </c>
      <c r="D14" s="229"/>
      <c r="E14" s="262" t="s">
        <v>504</v>
      </c>
      <c r="F14" s="265" t="s">
        <v>23</v>
      </c>
      <c r="G14" s="266" t="s">
        <v>68</v>
      </c>
      <c r="H14" s="267"/>
      <c r="I14" s="267"/>
      <c r="J14" s="267"/>
      <c r="K14" s="267"/>
      <c r="L14" s="267"/>
      <c r="M14" s="267"/>
      <c r="N14" s="267"/>
      <c r="O14" s="268" t="s">
        <v>505</v>
      </c>
      <c r="P14" s="266" t="s">
        <v>484</v>
      </c>
      <c r="Q14" s="266" t="s">
        <v>478</v>
      </c>
      <c r="R14" s="272" t="s">
        <v>506</v>
      </c>
      <c r="S14" s="234">
        <v>45470.0</v>
      </c>
      <c r="T14" s="273">
        <v>631261.0</v>
      </c>
      <c r="U14" s="234">
        <v>45470.0</v>
      </c>
      <c r="V14" s="37" t="s">
        <v>480</v>
      </c>
      <c r="W14" s="258" t="s">
        <v>481</v>
      </c>
      <c r="X14" s="274" t="s">
        <v>507</v>
      </c>
      <c r="Y14" s="275"/>
      <c r="Z14" s="236"/>
      <c r="AA14" s="51" t="str">
        <f>IFERROR(__xludf.DUMMYFUNCTION("""COMPUTED_VALUE"""),"Proses Pembuatan Hidrolisat Protein Ikan secara Enzimatis Menggunakan Reaktor 15 L Semi Otomatis")</f>
        <v>Proses Pembuatan Hidrolisat Protein Ikan secara Enzimatis Menggunakan Reaktor 15 L Semi Otomatis</v>
      </c>
      <c r="AB14" s="51" t="str">
        <f>IFERROR(__xludf.DUMMYFUNCTION("""COMPUTED_VALUE"""),"Terdaftar DJKI")</f>
        <v>Terdaftar DJKI</v>
      </c>
      <c r="AC14" s="51" t="str">
        <f>IFERROR(__xludf.DUMMYFUNCTION("""COMPUTED_VALUE"""),"P00202215415")</f>
        <v>P00202215415</v>
      </c>
      <c r="AD14" s="236"/>
      <c r="AE14" s="236"/>
      <c r="AF14" s="236"/>
      <c r="AG14" s="236"/>
      <c r="AH14" s="236"/>
      <c r="AI14" s="236"/>
      <c r="AJ14" s="236"/>
      <c r="AK14" s="236"/>
      <c r="AL14" s="236"/>
      <c r="AM14" s="236"/>
      <c r="AN14" s="236"/>
      <c r="AO14" s="236"/>
      <c r="AP14" s="236"/>
      <c r="AQ14" s="236"/>
      <c r="AR14" s="236"/>
      <c r="AS14" s="236"/>
      <c r="AT14" s="236"/>
      <c r="AU14" s="236"/>
      <c r="AV14" s="236"/>
      <c r="AW14" s="236"/>
      <c r="AX14" s="236"/>
    </row>
    <row r="15" ht="37.5" customHeight="1">
      <c r="A15" s="227">
        <v>10.0</v>
      </c>
      <c r="B15" s="228">
        <f t="shared" si="1"/>
        <v>45481.95275</v>
      </c>
      <c r="C15" s="276"/>
      <c r="D15" s="277"/>
      <c r="E15" s="268" t="s">
        <v>508</v>
      </c>
      <c r="F15" s="266" t="s">
        <v>46</v>
      </c>
      <c r="G15" s="266" t="s">
        <v>299</v>
      </c>
      <c r="H15" s="267"/>
      <c r="I15" s="267"/>
      <c r="J15" s="267"/>
      <c r="K15" s="267"/>
      <c r="L15" s="267"/>
      <c r="M15" s="267"/>
      <c r="N15" s="267"/>
      <c r="O15" s="268" t="s">
        <v>509</v>
      </c>
      <c r="P15" s="266" t="s">
        <v>127</v>
      </c>
      <c r="Q15" s="266" t="s">
        <v>478</v>
      </c>
      <c r="R15" s="268" t="s">
        <v>510</v>
      </c>
      <c r="S15" s="234">
        <v>45476.0</v>
      </c>
      <c r="T15" s="267"/>
      <c r="U15" s="257"/>
      <c r="V15" s="37" t="s">
        <v>480</v>
      </c>
      <c r="W15" s="258" t="s">
        <v>481</v>
      </c>
      <c r="X15" s="278"/>
      <c r="Y15" s="279" t="s">
        <v>511</v>
      </c>
      <c r="AA15" s="51" t="str">
        <f>IFERROR(__xludf.DUMMYFUNCTION("""COMPUTED_VALUE"""),"PROSES PEMURNIAN OKSIDA BESI DARI LIMBAH PENGERJAAN PERMESINAN MENJADI BAHAN BAKU PEMBUATAN MAGNET BARIUM HEKSAFERIT")</f>
        <v>PROSES PEMURNIAN OKSIDA BESI DARI LIMBAH PENGERJAAN PERMESINAN MENJADI BAHAN BAKU PEMBUATAN MAGNET BARIUM HEKSAFERIT</v>
      </c>
      <c r="AB15" s="51" t="str">
        <f>IFERROR(__xludf.DUMMYFUNCTION("""COMPUTED_VALUE"""),"Tersertifikasi")</f>
        <v>Tersertifikasi</v>
      </c>
      <c r="AC15" s="51" t="str">
        <f>IFERROR(__xludf.DUMMYFUNCTION("""COMPUTED_VALUE"""),"P00201804220")</f>
        <v>P00201804220</v>
      </c>
      <c r="AD15" s="280"/>
    </row>
    <row r="16">
      <c r="A16" s="227">
        <v>11.0</v>
      </c>
      <c r="B16" s="228">
        <f t="shared" si="1"/>
        <v>45485.57957</v>
      </c>
      <c r="C16" s="281"/>
      <c r="D16" s="277"/>
      <c r="E16" s="268" t="s">
        <v>512</v>
      </c>
      <c r="F16" s="282" t="s">
        <v>34</v>
      </c>
      <c r="G16" s="282" t="s">
        <v>35</v>
      </c>
      <c r="H16" s="282" t="s">
        <v>37</v>
      </c>
      <c r="I16" s="282" t="s">
        <v>40</v>
      </c>
      <c r="J16" s="282" t="s">
        <v>36</v>
      </c>
      <c r="K16" s="282" t="s">
        <v>405</v>
      </c>
      <c r="L16" s="283"/>
      <c r="M16" s="283"/>
      <c r="N16" s="283"/>
      <c r="O16" s="268" t="s">
        <v>513</v>
      </c>
      <c r="P16" s="282" t="s">
        <v>215</v>
      </c>
      <c r="Q16" s="282" t="s">
        <v>478</v>
      </c>
      <c r="R16" s="284"/>
      <c r="S16" s="257"/>
      <c r="T16" s="267"/>
      <c r="U16" s="257"/>
      <c r="V16" s="37" t="s">
        <v>480</v>
      </c>
      <c r="W16" s="256"/>
      <c r="X16" s="259"/>
      <c r="Y16" s="285"/>
      <c r="AA16" s="51" t="str">
        <f>IFERROR(__xludf.DUMMYFUNCTION("""COMPUTED_VALUE"""),"WAHANA YANG DAPAT DIPINDAHOPERASIKAN UNTUK PENANGANAN DAN PENGUJIAN AGEN BIOLOGIS DENGAN AMAN DAN AKURAT")</f>
        <v>WAHANA YANG DAPAT DIPINDAHOPERASIKAN UNTUK PENANGANAN DAN PENGUJIAN AGEN BIOLOGIS DENGAN AMAN DAN AKURAT</v>
      </c>
      <c r="AB16" s="51" t="str">
        <f>IFERROR(__xludf.DUMMYFUNCTION("""COMPUTED_VALUE"""),"Terdaftar DJKI")</f>
        <v>Terdaftar DJKI</v>
      </c>
      <c r="AC16" s="51" t="str">
        <f>IFERROR(__xludf.DUMMYFUNCTION("""COMPUTED_VALUE"""),"P00202106507")</f>
        <v>P00202106507</v>
      </c>
      <c r="AD16" s="280"/>
    </row>
    <row r="17">
      <c r="A17" s="227">
        <v>12.0</v>
      </c>
      <c r="B17" s="228">
        <f t="shared" si="1"/>
        <v>45495.6613</v>
      </c>
      <c r="C17" s="281"/>
      <c r="D17" s="277"/>
      <c r="E17" s="268" t="s">
        <v>514</v>
      </c>
      <c r="F17" s="282" t="s">
        <v>108</v>
      </c>
      <c r="G17" s="268" t="s">
        <v>418</v>
      </c>
      <c r="H17" s="268" t="s">
        <v>393</v>
      </c>
      <c r="I17" s="268" t="s">
        <v>426</v>
      </c>
      <c r="J17" s="268" t="s">
        <v>121</v>
      </c>
      <c r="K17" s="286" t="s">
        <v>515</v>
      </c>
      <c r="L17" s="268" t="s">
        <v>122</v>
      </c>
      <c r="M17" s="268" t="s">
        <v>123</v>
      </c>
      <c r="N17" s="268" t="s">
        <v>126</v>
      </c>
      <c r="O17" s="259"/>
      <c r="P17" s="282" t="s">
        <v>215</v>
      </c>
      <c r="Q17" s="282" t="s">
        <v>478</v>
      </c>
      <c r="R17" s="267"/>
      <c r="S17" s="257"/>
      <c r="T17" s="267"/>
      <c r="U17" s="257"/>
      <c r="V17" s="37" t="s">
        <v>480</v>
      </c>
      <c r="W17" s="256"/>
      <c r="X17" s="268"/>
      <c r="Y17" s="287" t="s">
        <v>516</v>
      </c>
      <c r="AA17" s="51" t="str">
        <f>IFERROR(__xludf.DUMMYFUNCTION("""COMPUTED_VALUE"""),"N-type dopants for photoactive regions of organic photovoltaics")</f>
        <v>N-type dopants for photoactive regions of organic photovoltaics</v>
      </c>
      <c r="AB17" s="51" t="str">
        <f>IFERROR(__xludf.DUMMYFUNCTION("""COMPUTED_VALUE"""),"Tersertifikasi")</f>
        <v>Tersertifikasi</v>
      </c>
      <c r="AC17" s="51" t="str">
        <f>IFERROR(__xludf.DUMMYFUNCTION("""COMPUTED_VALUE"""),"US Patent App. 17/772397")</f>
        <v>US Patent App. 17/772397</v>
      </c>
      <c r="AD17" s="280"/>
    </row>
    <row r="18">
      <c r="A18" s="227">
        <v>13.0</v>
      </c>
      <c r="B18" s="228"/>
      <c r="C18" s="288"/>
      <c r="D18" s="289"/>
      <c r="E18" s="268" t="s">
        <v>517</v>
      </c>
      <c r="F18" s="266" t="s">
        <v>34</v>
      </c>
      <c r="G18" s="266" t="s">
        <v>37</v>
      </c>
      <c r="H18" s="266" t="s">
        <v>35</v>
      </c>
      <c r="I18" s="266" t="s">
        <v>39</v>
      </c>
      <c r="J18" s="266" t="s">
        <v>38</v>
      </c>
      <c r="K18" s="266" t="s">
        <v>405</v>
      </c>
      <c r="L18" s="266" t="s">
        <v>24</v>
      </c>
      <c r="M18" s="267"/>
      <c r="N18" s="267"/>
      <c r="O18" s="268" t="s">
        <v>518</v>
      </c>
      <c r="P18" s="266" t="s">
        <v>215</v>
      </c>
      <c r="Q18" s="266" t="s">
        <v>478</v>
      </c>
      <c r="R18" s="284"/>
      <c r="S18" s="257"/>
      <c r="T18" s="267"/>
      <c r="U18" s="257"/>
      <c r="V18" s="37" t="s">
        <v>480</v>
      </c>
      <c r="W18" s="256"/>
      <c r="X18" s="259"/>
      <c r="Y18" s="35"/>
      <c r="AA18" s="51" t="str">
        <f>IFERROR(__xludf.DUMMYFUNCTION("""COMPUTED_VALUE"""),"MATERIAL SEBAGAI PENGINDERA PADA IMUNOSENSOR ELEKTROKIMIA UNTUK DETEKSI ANTIGEN NS-1 VIRUS DENGUE SEROTIPE 3 (DENV-3) BERUPA BIMETAL TEMBAGA-NIKEL- 1,3,5-BENZENA TRIKARBOKSILAT TERMODIFIKASI TRIETANOLAMIN DAN METODE SINTESISNYA")</f>
        <v>MATERIAL SEBAGAI PENGINDERA PADA IMUNOSENSOR ELEKTROKIMIA UNTUK DETEKSI ANTIGEN NS-1 VIRUS DENGUE SEROTIPE 3 (DENV-3) BERUPA BIMETAL TEMBAGA-NIKEL- 1,3,5-BENZENA TRIKARBOKSILAT TERMODIFIKASI TRIETANOLAMIN DAN METODE SINTESISNYA</v>
      </c>
      <c r="AB18" s="51" t="str">
        <f>IFERROR(__xludf.DUMMYFUNCTION("""COMPUTED_VALUE"""),"Terdaftar DJKI")</f>
        <v>Terdaftar DJKI</v>
      </c>
      <c r="AC18" s="51" t="str">
        <f>IFERROR(__xludf.DUMMYFUNCTION("""COMPUTED_VALUE"""),"P00202301878")</f>
        <v>P00202301878</v>
      </c>
      <c r="AD18" s="280"/>
    </row>
    <row r="19">
      <c r="A19" s="227">
        <v>14.0</v>
      </c>
      <c r="B19" s="228"/>
      <c r="C19" s="288"/>
      <c r="D19" s="289"/>
      <c r="E19" s="268" t="s">
        <v>519</v>
      </c>
      <c r="F19" s="266" t="s">
        <v>108</v>
      </c>
      <c r="G19" s="266" t="s">
        <v>121</v>
      </c>
      <c r="H19" s="266" t="s">
        <v>418</v>
      </c>
      <c r="I19" s="266" t="s">
        <v>393</v>
      </c>
      <c r="J19" s="266" t="s">
        <v>426</v>
      </c>
      <c r="K19" s="290" t="s">
        <v>520</v>
      </c>
      <c r="L19" s="266" t="s">
        <v>123</v>
      </c>
      <c r="M19" s="266" t="s">
        <v>416</v>
      </c>
      <c r="N19" s="266" t="s">
        <v>122</v>
      </c>
      <c r="O19" s="268" t="s">
        <v>521</v>
      </c>
      <c r="P19" s="266" t="s">
        <v>215</v>
      </c>
      <c r="Q19" s="266" t="s">
        <v>478</v>
      </c>
      <c r="R19" s="284"/>
      <c r="S19" s="257"/>
      <c r="T19" s="267"/>
      <c r="U19" s="257"/>
      <c r="V19" s="37" t="s">
        <v>480</v>
      </c>
      <c r="W19" s="256"/>
      <c r="X19" s="268"/>
      <c r="Y19" s="36" t="s">
        <v>522</v>
      </c>
      <c r="AA19" s="51" t="str">
        <f>IFERROR(__xludf.DUMMYFUNCTION("""COMPUTED_VALUE"""),"Sensor Kelembaban Berbasis Polivinil Alkohol Dan Timah Oksida Menggunakan Teknologi Film Tebal")</f>
        <v>Sensor Kelembaban Berbasis Polivinil Alkohol Dan Timah Oksida Menggunakan Teknologi Film Tebal</v>
      </c>
      <c r="AB19" s="51" t="str">
        <f>IFERROR(__xludf.DUMMYFUNCTION("""COMPUTED_VALUE"""),"Tersertifikasi")</f>
        <v>Tersertifikasi</v>
      </c>
      <c r="AC19" s="51" t="str">
        <f>IFERROR(__xludf.DUMMYFUNCTION("""COMPUTED_VALUE"""),"P00202215449")</f>
        <v>P00202215449</v>
      </c>
      <c r="AD19" s="280"/>
    </row>
    <row r="20">
      <c r="A20" s="227">
        <v>15.0</v>
      </c>
      <c r="B20" s="228"/>
      <c r="C20" s="288"/>
      <c r="D20" s="289"/>
      <c r="E20" s="268" t="s">
        <v>523</v>
      </c>
      <c r="F20" s="266" t="s">
        <v>108</v>
      </c>
      <c r="G20" s="266" t="s">
        <v>123</v>
      </c>
      <c r="H20" s="267"/>
      <c r="I20" s="267"/>
      <c r="J20" s="267"/>
      <c r="K20" s="267"/>
      <c r="L20" s="267"/>
      <c r="M20" s="267"/>
      <c r="N20" s="267"/>
      <c r="O20" s="268" t="s">
        <v>524</v>
      </c>
      <c r="P20" s="266" t="s">
        <v>127</v>
      </c>
      <c r="Q20" s="267"/>
      <c r="R20" s="291"/>
      <c r="S20" s="257"/>
      <c r="T20" s="266"/>
      <c r="U20" s="257"/>
      <c r="V20" s="37" t="s">
        <v>480</v>
      </c>
      <c r="W20" s="256"/>
      <c r="X20" s="259"/>
      <c r="Y20" s="35"/>
      <c r="AA20" s="51" t="str">
        <f>IFERROR(__xludf.DUMMYFUNCTION("""COMPUTED_VALUE"""),"Piranti Lunak Programmable Logic Controller (PLC) Mesin Fermenter Skala Laboratorium")</f>
        <v>Piranti Lunak Programmable Logic Controller (PLC) Mesin Fermenter Skala Laboratorium</v>
      </c>
      <c r="AB20" s="51" t="str">
        <f>IFERROR(__xludf.DUMMYFUNCTION("""COMPUTED_VALUE"""),"Tersertifikasi")</f>
        <v>Tersertifikasi</v>
      </c>
      <c r="AC20" s="51" t="str">
        <f>IFERROR(__xludf.DUMMYFUNCTION("""COMPUTED_VALUE"""),"EC00202332240")</f>
        <v>EC00202332240</v>
      </c>
      <c r="AD20" s="280"/>
    </row>
    <row r="21" ht="15.75" customHeight="1">
      <c r="A21" s="227">
        <v>16.0</v>
      </c>
      <c r="B21" s="228"/>
      <c r="C21" s="288"/>
      <c r="D21" s="289"/>
      <c r="E21" s="268" t="s">
        <v>525</v>
      </c>
      <c r="F21" s="266" t="s">
        <v>108</v>
      </c>
      <c r="G21" s="266" t="s">
        <v>389</v>
      </c>
      <c r="H21" s="266" t="s">
        <v>388</v>
      </c>
      <c r="I21" s="266" t="s">
        <v>390</v>
      </c>
      <c r="J21" s="290" t="s">
        <v>526</v>
      </c>
      <c r="K21" s="266" t="s">
        <v>65</v>
      </c>
      <c r="L21" s="267"/>
      <c r="M21" s="267"/>
      <c r="N21" s="267"/>
      <c r="O21" s="268" t="s">
        <v>527</v>
      </c>
      <c r="P21" s="266" t="s">
        <v>215</v>
      </c>
      <c r="Q21" s="266" t="s">
        <v>478</v>
      </c>
      <c r="R21" s="284"/>
      <c r="S21" s="257"/>
      <c r="T21" s="267"/>
      <c r="U21" s="257"/>
      <c r="V21" s="37" t="s">
        <v>480</v>
      </c>
      <c r="W21" s="256"/>
      <c r="X21" s="259"/>
      <c r="Y21" s="35"/>
      <c r="AA21" s="51" t="str">
        <f>IFERROR(__xludf.DUMMYFUNCTION("""COMPUTED_VALUE"""),"Perangkat Lunak Programmable Logic Controller (PLC) Untuk Laboratorium Biosafety Level 2 Enhanced Tipe Kontainer")</f>
        <v>Perangkat Lunak Programmable Logic Controller (PLC) Untuk Laboratorium Biosafety Level 2 Enhanced Tipe Kontainer</v>
      </c>
      <c r="AB21" s="292" t="str">
        <f>IFERROR(__xludf.DUMMYFUNCTION("""COMPUTED_VALUE"""),"Tersertifikasi")</f>
        <v>Tersertifikasi</v>
      </c>
      <c r="AC21" s="51" t="str">
        <f>IFERROR(__xludf.DUMMYFUNCTION("""COMPUTED_VALUE"""),"EC002022107178")</f>
        <v>EC002022107178</v>
      </c>
      <c r="AD21" s="280"/>
    </row>
    <row r="22" ht="15.75" hidden="1" customHeight="1">
      <c r="A22" s="227">
        <v>17.0</v>
      </c>
      <c r="B22" s="228"/>
      <c r="C22" s="276" t="s">
        <v>206</v>
      </c>
      <c r="D22" s="289"/>
      <c r="E22" s="268" t="s">
        <v>528</v>
      </c>
      <c r="F22" s="266" t="s">
        <v>108</v>
      </c>
      <c r="G22" s="290" t="s">
        <v>529</v>
      </c>
      <c r="H22" s="266" t="s">
        <v>390</v>
      </c>
      <c r="I22" s="266" t="s">
        <v>393</v>
      </c>
      <c r="J22" s="266" t="s">
        <v>123</v>
      </c>
      <c r="K22" s="266" t="s">
        <v>426</v>
      </c>
      <c r="L22" s="266" t="s">
        <v>416</v>
      </c>
      <c r="M22" s="266" t="s">
        <v>122</v>
      </c>
      <c r="N22" s="267"/>
      <c r="O22" s="268" t="s">
        <v>427</v>
      </c>
      <c r="P22" s="266" t="s">
        <v>484</v>
      </c>
      <c r="Q22" s="266" t="s">
        <v>499</v>
      </c>
      <c r="R22" s="291" t="s">
        <v>530</v>
      </c>
      <c r="S22" s="234">
        <v>45290.0</v>
      </c>
      <c r="T22" s="267"/>
      <c r="U22" s="257"/>
      <c r="V22" s="37" t="s">
        <v>480</v>
      </c>
      <c r="W22" s="233" t="s">
        <v>481</v>
      </c>
      <c r="X22" s="274" t="s">
        <v>531</v>
      </c>
      <c r="Y22" s="35"/>
      <c r="AA22" s="51" t="str">
        <f>IFERROR(__xludf.DUMMYFUNCTION("""COMPUTED_VALUE"""),"Perangkat Lunak SCADA Untuk Monitoring Dan Kontrol Kapal Hisap")</f>
        <v>Perangkat Lunak SCADA Untuk Monitoring Dan Kontrol Kapal Hisap</v>
      </c>
      <c r="AB22" s="51" t="str">
        <f>IFERROR(__xludf.DUMMYFUNCTION("""COMPUTED_VALUE"""),"Tersertifikasi")</f>
        <v>Tersertifikasi</v>
      </c>
      <c r="AC22" s="51" t="str">
        <f>IFERROR(__xludf.DUMMYFUNCTION("""COMPUTED_VALUE"""),"EC002022107179")</f>
        <v>EC002022107179</v>
      </c>
      <c r="AD22" s="280"/>
    </row>
    <row r="23" ht="15.75" customHeight="1">
      <c r="A23" s="227">
        <v>18.0</v>
      </c>
      <c r="B23" s="228"/>
      <c r="C23" s="288"/>
      <c r="D23" s="289"/>
      <c r="E23" s="268" t="s">
        <v>532</v>
      </c>
      <c r="F23" s="266" t="s">
        <v>108</v>
      </c>
      <c r="G23" s="266" t="s">
        <v>420</v>
      </c>
      <c r="H23" s="266" t="s">
        <v>418</v>
      </c>
      <c r="I23" s="266" t="s">
        <v>122</v>
      </c>
      <c r="J23" s="266" t="s">
        <v>119</v>
      </c>
      <c r="K23" s="266" t="s">
        <v>308</v>
      </c>
      <c r="L23" s="267"/>
      <c r="M23" s="267"/>
      <c r="N23" s="267"/>
      <c r="O23" s="259"/>
      <c r="P23" s="266" t="s">
        <v>215</v>
      </c>
      <c r="Q23" s="266" t="s">
        <v>478</v>
      </c>
      <c r="R23" s="284"/>
      <c r="S23" s="257"/>
      <c r="T23" s="267"/>
      <c r="U23" s="257"/>
      <c r="V23" s="37" t="s">
        <v>480</v>
      </c>
      <c r="W23" s="256"/>
      <c r="X23" s="259"/>
      <c r="Y23" s="35"/>
      <c r="AA23" s="51" t="str">
        <f>IFERROR(__xludf.DUMMYFUNCTION("""COMPUTED_VALUE"""),"Dashboard Power Monitoring InaCBT V1")</f>
        <v>Dashboard Power Monitoring InaCBT V1</v>
      </c>
      <c r="AB23" s="51" t="str">
        <f>IFERROR(__xludf.DUMMYFUNCTION("""COMPUTED_VALUE"""),"Terdaftar DJKI")</f>
        <v>Terdaftar DJKI</v>
      </c>
      <c r="AC23" s="51" t="str">
        <f>IFERROR(__xludf.DUMMYFUNCTION("""COMPUTED_VALUE"""),"EC00202364729")</f>
        <v>EC00202364729</v>
      </c>
      <c r="AD23" s="280"/>
    </row>
    <row r="24" ht="15.75" customHeight="1">
      <c r="A24" s="227">
        <v>19.0</v>
      </c>
      <c r="B24" s="228"/>
      <c r="C24" s="288"/>
      <c r="D24" s="289"/>
      <c r="E24" s="268" t="s">
        <v>533</v>
      </c>
      <c r="F24" s="266" t="s">
        <v>108</v>
      </c>
      <c r="G24" s="266" t="s">
        <v>122</v>
      </c>
      <c r="H24" s="266" t="s">
        <v>393</v>
      </c>
      <c r="I24" s="266" t="s">
        <v>121</v>
      </c>
      <c r="J24" s="266" t="s">
        <v>418</v>
      </c>
      <c r="K24" s="266" t="s">
        <v>123</v>
      </c>
      <c r="L24" s="266" t="s">
        <v>426</v>
      </c>
      <c r="M24" s="290" t="s">
        <v>534</v>
      </c>
      <c r="N24" s="267"/>
      <c r="O24" s="259"/>
      <c r="P24" s="266" t="s">
        <v>127</v>
      </c>
      <c r="Q24" s="266" t="s">
        <v>478</v>
      </c>
      <c r="R24" s="284"/>
      <c r="S24" s="257"/>
      <c r="T24" s="267"/>
      <c r="U24" s="257"/>
      <c r="V24" s="37" t="s">
        <v>480</v>
      </c>
      <c r="W24" s="256"/>
      <c r="X24" s="259"/>
      <c r="Y24" s="35"/>
      <c r="AA24" s="51" t="str">
        <f>IFERROR(__xludf.DUMMYFUNCTION("""COMPUTED_VALUE"""),"PENGUAT SINYAL AUTOMATIC IDENTIFICATION SYSTEM (AIS) MENGGUNAKAN ANTENA
 YAGI DAN LOW NOISE AMPLIFIER (LNA)")</f>
        <v>PENGUAT SINYAL AUTOMATIC IDENTIFICATION SYSTEM (AIS) MENGGUNAKAN ANTENA
 YAGI DAN LOW NOISE AMPLIFIER (LNA)</v>
      </c>
      <c r="AB24" s="51" t="str">
        <f>IFERROR(__xludf.DUMMYFUNCTION("""COMPUTED_VALUE"""),"Terdaftar DJKI")</f>
        <v>Terdaftar DJKI</v>
      </c>
      <c r="AC24" s="51" t="str">
        <f>IFERROR(__xludf.DUMMYFUNCTION("""COMPUTED_VALUE"""),"P00202215538")</f>
        <v>P00202215538</v>
      </c>
      <c r="AD24" s="280"/>
    </row>
    <row r="25" ht="15.75" customHeight="1">
      <c r="A25" s="227">
        <v>20.0</v>
      </c>
      <c r="B25" s="228"/>
      <c r="C25" s="288"/>
      <c r="D25" s="289"/>
      <c r="E25" s="268" t="s">
        <v>535</v>
      </c>
      <c r="F25" s="266" t="s">
        <v>23</v>
      </c>
      <c r="G25" s="266" t="s">
        <v>329</v>
      </c>
      <c r="H25" s="267"/>
      <c r="I25" s="267"/>
      <c r="J25" s="267"/>
      <c r="K25" s="267"/>
      <c r="L25" s="267"/>
      <c r="M25" s="267"/>
      <c r="N25" s="267"/>
      <c r="O25" s="268" t="s">
        <v>536</v>
      </c>
      <c r="P25" s="266" t="s">
        <v>484</v>
      </c>
      <c r="Q25" s="266" t="s">
        <v>478</v>
      </c>
      <c r="R25" s="291" t="s">
        <v>537</v>
      </c>
      <c r="S25" s="234">
        <v>45513.0</v>
      </c>
      <c r="T25" s="267"/>
      <c r="U25" s="257"/>
      <c r="V25" s="37" t="s">
        <v>480</v>
      </c>
      <c r="W25" s="256"/>
      <c r="X25" s="274" t="s">
        <v>538</v>
      </c>
      <c r="Y25" s="35"/>
      <c r="AA25" s="51" t="str">
        <f>IFERROR(__xludf.DUMMYFUNCTION("""COMPUTED_VALUE"""),"ALAT PEMBERI PAKAN IKAN OTOMATIS DENGAN RODA GIGI TERMODIFIKASI")</f>
        <v>ALAT PEMBERI PAKAN IKAN OTOMATIS DENGAN RODA GIGI TERMODIFIKASI</v>
      </c>
      <c r="AB25" s="51" t="str">
        <f>IFERROR(__xludf.DUMMYFUNCTION("""COMPUTED_VALUE"""),"Terdaftar DJKI")</f>
        <v>Terdaftar DJKI</v>
      </c>
      <c r="AC25" s="51" t="str">
        <f>IFERROR(__xludf.DUMMYFUNCTION("""COMPUTED_VALUE"""),"P00202215109")</f>
        <v>P00202215109</v>
      </c>
      <c r="AD25" s="280"/>
    </row>
    <row r="26" ht="15.75" customHeight="1">
      <c r="A26" s="227">
        <v>21.0</v>
      </c>
      <c r="B26" s="228"/>
      <c r="C26" s="288"/>
      <c r="D26" s="289"/>
      <c r="E26" s="259"/>
      <c r="F26" s="267"/>
      <c r="G26" s="267"/>
      <c r="H26" s="267"/>
      <c r="I26" s="267"/>
      <c r="J26" s="267"/>
      <c r="K26" s="267"/>
      <c r="L26" s="267"/>
      <c r="M26" s="267"/>
      <c r="N26" s="267"/>
      <c r="O26" s="259"/>
      <c r="P26" s="267"/>
      <c r="Q26" s="267"/>
      <c r="R26" s="284"/>
      <c r="S26" s="257"/>
      <c r="T26" s="267"/>
      <c r="U26" s="257"/>
      <c r="V26" s="37" t="s">
        <v>480</v>
      </c>
      <c r="W26" s="256"/>
      <c r="X26" s="259"/>
      <c r="Y26" s="35"/>
      <c r="AA26" s="51" t="str">
        <f>IFERROR(__xludf.DUMMYFUNCTION("""COMPUTED_VALUE"""),"SISTEM PEMANAS AIR BERBASIS PELTIER DENGAN PUMP FLOW RATE CONTROL")</f>
        <v>SISTEM PEMANAS AIR BERBASIS PELTIER DENGAN PUMP FLOW RATE CONTROL</v>
      </c>
      <c r="AB26" s="51" t="str">
        <f>IFERROR(__xludf.DUMMYFUNCTION("""COMPUTED_VALUE"""),"Terdaftar DJKI")</f>
        <v>Terdaftar DJKI</v>
      </c>
      <c r="AC26" s="51" t="str">
        <f>IFERROR(__xludf.DUMMYFUNCTION("""COMPUTED_VALUE"""),"S00202215615")</f>
        <v>S00202215615</v>
      </c>
      <c r="AD26" s="280"/>
    </row>
    <row r="27" ht="15.75" customHeight="1">
      <c r="A27" s="227">
        <v>22.0</v>
      </c>
      <c r="B27" s="228"/>
      <c r="C27" s="288"/>
      <c r="D27" s="289"/>
      <c r="E27" s="259"/>
      <c r="F27" s="267"/>
      <c r="G27" s="267"/>
      <c r="H27" s="267"/>
      <c r="I27" s="267"/>
      <c r="J27" s="267"/>
      <c r="K27" s="267"/>
      <c r="L27" s="267"/>
      <c r="M27" s="267"/>
      <c r="N27" s="267"/>
      <c r="O27" s="259"/>
      <c r="P27" s="267"/>
      <c r="Q27" s="267"/>
      <c r="R27" s="284"/>
      <c r="S27" s="257"/>
      <c r="T27" s="267"/>
      <c r="U27" s="257"/>
      <c r="V27" s="37" t="s">
        <v>480</v>
      </c>
      <c r="W27" s="256"/>
      <c r="X27" s="259"/>
      <c r="Y27" s="35"/>
      <c r="AA27" s="51" t="str">
        <f>IFERROR(__xludf.DUMMYFUNCTION("""COMPUTED_VALUE"""),"Perangkat Lunak Antarmuka Pengoperasian Mesin Fermenter Skala Laboratorium")</f>
        <v>Perangkat Lunak Antarmuka Pengoperasian Mesin Fermenter Skala Laboratorium</v>
      </c>
      <c r="AB27" s="51" t="str">
        <f>IFERROR(__xludf.DUMMYFUNCTION("""COMPUTED_VALUE"""),"Terdaftar DJKI")</f>
        <v>Terdaftar DJKI</v>
      </c>
      <c r="AC27" s="51" t="str">
        <f>IFERROR(__xludf.DUMMYFUNCTION("""COMPUTED_VALUE"""),"EC00202364732")</f>
        <v>EC00202364732</v>
      </c>
      <c r="AD27" s="280"/>
    </row>
    <row r="28" ht="15.75" customHeight="1">
      <c r="A28" s="227">
        <v>23.0</v>
      </c>
      <c r="B28" s="228"/>
      <c r="C28" s="288"/>
      <c r="D28" s="289"/>
      <c r="E28" s="259"/>
      <c r="F28" s="267"/>
      <c r="G28" s="267"/>
      <c r="H28" s="267"/>
      <c r="I28" s="267"/>
      <c r="J28" s="267"/>
      <c r="K28" s="267"/>
      <c r="L28" s="267"/>
      <c r="M28" s="267"/>
      <c r="N28" s="267"/>
      <c r="O28" s="259"/>
      <c r="P28" s="267"/>
      <c r="Q28" s="267"/>
      <c r="R28" s="284"/>
      <c r="S28" s="257"/>
      <c r="T28" s="267"/>
      <c r="U28" s="257"/>
      <c r="V28" s="37" t="s">
        <v>480</v>
      </c>
      <c r="W28" s="256"/>
      <c r="X28" s="259"/>
      <c r="Y28" s="35"/>
      <c r="AA28" s="51" t="str">
        <f>IFERROR(__xludf.DUMMYFUNCTION("""COMPUTED_VALUE"""),"PENGUAT SINYAL AUTOMATIC IDENTIFICATION SYSTEM (AIS) MENGGUNAKAN ANTENA YAGI DAN LOW NOISE AMPLIFIER (LNA)")</f>
        <v>PENGUAT SINYAL AUTOMATIC IDENTIFICATION SYSTEM (AIS) MENGGUNAKAN ANTENA YAGI DAN LOW NOISE AMPLIFIER (LNA)</v>
      </c>
      <c r="AB28" s="51" t="str">
        <f>IFERROR(__xludf.DUMMYFUNCTION("""COMPUTED_VALUE"""),"Terdaftar DJKI")</f>
        <v>Terdaftar DJKI</v>
      </c>
      <c r="AC28" s="51" t="str">
        <f>IFERROR(__xludf.DUMMYFUNCTION("""COMPUTED_VALUE"""),"P00202215538")</f>
        <v>P00202215538</v>
      </c>
      <c r="AD28" s="280"/>
    </row>
    <row r="29" ht="15.75" customHeight="1">
      <c r="A29" s="227">
        <v>24.0</v>
      </c>
      <c r="B29" s="228"/>
      <c r="C29" s="288"/>
      <c r="D29" s="289"/>
      <c r="E29" s="259"/>
      <c r="F29" s="267"/>
      <c r="G29" s="267"/>
      <c r="H29" s="267"/>
      <c r="I29" s="267"/>
      <c r="J29" s="267"/>
      <c r="K29" s="267"/>
      <c r="L29" s="267"/>
      <c r="M29" s="267"/>
      <c r="N29" s="267"/>
      <c r="O29" s="259"/>
      <c r="P29" s="267"/>
      <c r="Q29" s="267"/>
      <c r="R29" s="284"/>
      <c r="S29" s="257"/>
      <c r="T29" s="267"/>
      <c r="U29" s="257"/>
      <c r="V29" s="37" t="s">
        <v>480</v>
      </c>
      <c r="W29" s="256"/>
      <c r="X29" s="259"/>
      <c r="Y29" s="35"/>
      <c r="AA29" s="51" t="str">
        <f>IFERROR(__xludf.DUMMYFUNCTION("""COMPUTED_VALUE"""),"PERANGKAT PEMANTAU KONDISI BUOY NAVIGASI PELAYARAN DENGAN SENSOR PEMANTAU INTENSITAS CAHAYA LAMPU SUAR")</f>
        <v>PERANGKAT PEMANTAU KONDISI BUOY NAVIGASI PELAYARAN DENGAN SENSOR PEMANTAU INTENSITAS CAHAYA LAMPU SUAR</v>
      </c>
      <c r="AB29" s="51" t="str">
        <f>IFERROR(__xludf.DUMMYFUNCTION("""COMPUTED_VALUE"""),"Terdaftar DJKI")</f>
        <v>Terdaftar DJKI</v>
      </c>
      <c r="AC29" s="51" t="str">
        <f>IFERROR(__xludf.DUMMYFUNCTION("""COMPUTED_VALUE"""),"P00202308285")</f>
        <v>P00202308285</v>
      </c>
      <c r="AD29" s="280"/>
    </row>
    <row r="30" ht="15.75" customHeight="1">
      <c r="A30" s="227">
        <v>25.0</v>
      </c>
      <c r="B30" s="228"/>
      <c r="C30" s="288"/>
      <c r="D30" s="289"/>
      <c r="E30" s="259"/>
      <c r="F30" s="267"/>
      <c r="G30" s="267"/>
      <c r="H30" s="267"/>
      <c r="I30" s="267"/>
      <c r="J30" s="267"/>
      <c r="K30" s="267"/>
      <c r="L30" s="267"/>
      <c r="M30" s="267"/>
      <c r="N30" s="267"/>
      <c r="O30" s="259"/>
      <c r="P30" s="267"/>
      <c r="Q30" s="267"/>
      <c r="R30" s="284"/>
      <c r="S30" s="257"/>
      <c r="T30" s="267"/>
      <c r="U30" s="257"/>
      <c r="V30" s="37" t="s">
        <v>480</v>
      </c>
      <c r="W30" s="256"/>
      <c r="X30" s="259"/>
      <c r="Y30" s="35"/>
      <c r="AA30" s="51" t="str">
        <f>IFERROR(__xludf.DUMMYFUNCTION("""COMPUTED_VALUE"""),"PERANGKAT SIMULASI DATA TEKANAN AIR LAUT")</f>
        <v>PERANGKAT SIMULASI DATA TEKANAN AIR LAUT</v>
      </c>
      <c r="AB30" s="51" t="str">
        <f>IFERROR(__xludf.DUMMYFUNCTION("""COMPUTED_VALUE"""),"Terdaftar DJKI")</f>
        <v>Terdaftar DJKI</v>
      </c>
      <c r="AC30" s="51" t="str">
        <f>IFERROR(__xludf.DUMMYFUNCTION("""COMPUTED_VALUE"""),"P00202308239")</f>
        <v>P00202308239</v>
      </c>
      <c r="AD30" s="280"/>
    </row>
    <row r="31" ht="15.75" customHeight="1">
      <c r="A31" s="227">
        <v>26.0</v>
      </c>
      <c r="B31" s="228"/>
      <c r="C31" s="288"/>
      <c r="D31" s="289"/>
      <c r="E31" s="259"/>
      <c r="F31" s="267"/>
      <c r="G31" s="267"/>
      <c r="H31" s="267"/>
      <c r="I31" s="267"/>
      <c r="J31" s="267"/>
      <c r="K31" s="267"/>
      <c r="L31" s="267"/>
      <c r="M31" s="267"/>
      <c r="N31" s="267"/>
      <c r="O31" s="259"/>
      <c r="P31" s="267"/>
      <c r="Q31" s="267"/>
      <c r="R31" s="284"/>
      <c r="S31" s="257"/>
      <c r="T31" s="267"/>
      <c r="U31" s="257"/>
      <c r="V31" s="37" t="s">
        <v>480</v>
      </c>
      <c r="W31" s="256"/>
      <c r="X31" s="259"/>
      <c r="Y31" s="35"/>
      <c r="AA31" s="51" t="str">
        <f>IFERROR(__xludf.DUMMYFUNCTION("""COMPUTED_VALUE"""),"METODE PEMBUATAN NANOPARTIKEL EMAS-ANTIBODI TERMODIFIKASI UNTUK DETEKSI COVID-19")</f>
        <v>METODE PEMBUATAN NANOPARTIKEL EMAS-ANTIBODI TERMODIFIKASI UNTUK DETEKSI COVID-19</v>
      </c>
      <c r="AB31" s="51" t="str">
        <f>IFERROR(__xludf.DUMMYFUNCTION("""COMPUTED_VALUE"""),"Terdaftar DJKI")</f>
        <v>Terdaftar DJKI</v>
      </c>
      <c r="AC31" s="51" t="str">
        <f>IFERROR(__xludf.DUMMYFUNCTION("""COMPUTED_VALUE"""),"P00202308234")</f>
        <v>P00202308234</v>
      </c>
      <c r="AD31" s="280"/>
    </row>
    <row r="32" ht="15.75" customHeight="1">
      <c r="A32" s="227">
        <v>27.0</v>
      </c>
      <c r="B32" s="228"/>
      <c r="C32" s="288"/>
      <c r="D32" s="289"/>
      <c r="E32" s="259"/>
      <c r="F32" s="267"/>
      <c r="G32" s="267"/>
      <c r="H32" s="267"/>
      <c r="I32" s="267"/>
      <c r="J32" s="267"/>
      <c r="K32" s="267"/>
      <c r="L32" s="267"/>
      <c r="M32" s="267"/>
      <c r="N32" s="267"/>
      <c r="O32" s="259"/>
      <c r="P32" s="267"/>
      <c r="Q32" s="267"/>
      <c r="R32" s="284"/>
      <c r="S32" s="257"/>
      <c r="T32" s="267"/>
      <c r="U32" s="257"/>
      <c r="V32" s="37" t="s">
        <v>480</v>
      </c>
      <c r="W32" s="256"/>
      <c r="X32" s="259"/>
      <c r="Y32" s="35"/>
      <c r="AA32" s="51" t="str">
        <f>IFERROR(__xludf.DUMMYFUNCTION("""COMPUTED_VALUE"""),"BIOREAKTOR SEL BAHAN BAKAR MIKROBA DENGAN ELEKTRODA TRANSPARAN")</f>
        <v>BIOREAKTOR SEL BAHAN BAKAR MIKROBA DENGAN ELEKTRODA TRANSPARAN</v>
      </c>
      <c r="AB32" s="51" t="str">
        <f>IFERROR(__xludf.DUMMYFUNCTION("""COMPUTED_VALUE"""),"Terdaftar DJKI")</f>
        <v>Terdaftar DJKI</v>
      </c>
      <c r="AC32" s="51" t="str">
        <f>IFERROR(__xludf.DUMMYFUNCTION("""COMPUTED_VALUE"""),"P00202309710")</f>
        <v>P00202309710</v>
      </c>
      <c r="AD32" s="280"/>
    </row>
    <row r="33" ht="15.75" customHeight="1">
      <c r="A33" s="227">
        <v>28.0</v>
      </c>
      <c r="B33" s="228"/>
      <c r="C33" s="288"/>
      <c r="D33" s="289"/>
      <c r="E33" s="259"/>
      <c r="F33" s="267"/>
      <c r="G33" s="267"/>
      <c r="H33" s="267"/>
      <c r="I33" s="267"/>
      <c r="J33" s="267"/>
      <c r="K33" s="267"/>
      <c r="L33" s="267"/>
      <c r="M33" s="267"/>
      <c r="N33" s="267"/>
      <c r="O33" s="259"/>
      <c r="P33" s="267"/>
      <c r="Q33" s="267"/>
      <c r="R33" s="284"/>
      <c r="S33" s="257"/>
      <c r="T33" s="267"/>
      <c r="U33" s="257"/>
      <c r="V33" s="37" t="s">
        <v>480</v>
      </c>
      <c r="W33" s="256"/>
      <c r="X33" s="259"/>
      <c r="Y33" s="35"/>
      <c r="AA33" s="51" t="str">
        <f>IFERROR(__xludf.DUMMYFUNCTION("""COMPUTED_VALUE"""),"METODE KENDALI PENGISIAN BATERAI PADA STASIUN PENUKARAN BATERAI KENDARAAN 
LISTRIK RODA DUA BERBASIS INTERNET OF THINGS")</f>
        <v>METODE KENDALI PENGISIAN BATERAI PADA STASIUN PENUKARAN BATERAI KENDARAAN 
LISTRIK RODA DUA BERBASIS INTERNET OF THINGS</v>
      </c>
      <c r="AB33" s="51" t="str">
        <f>IFERROR(__xludf.DUMMYFUNCTION("""COMPUTED_VALUE"""),"Tersertifikasi")</f>
        <v>Tersertifikasi</v>
      </c>
      <c r="AC33" s="51" t="str">
        <f>IFERROR(__xludf.DUMMYFUNCTION("""COMPUTED_VALUE"""),"P00202309714")</f>
        <v>P00202309714</v>
      </c>
      <c r="AD33" s="280"/>
    </row>
    <row r="34" ht="15.75" customHeight="1">
      <c r="A34" s="227">
        <v>29.0</v>
      </c>
      <c r="B34" s="228"/>
      <c r="C34" s="288"/>
      <c r="D34" s="289"/>
      <c r="E34" s="259"/>
      <c r="F34" s="267"/>
      <c r="G34" s="267"/>
      <c r="H34" s="267"/>
      <c r="I34" s="267"/>
      <c r="J34" s="267"/>
      <c r="K34" s="267"/>
      <c r="L34" s="267"/>
      <c r="M34" s="267"/>
      <c r="N34" s="267"/>
      <c r="O34" s="259"/>
      <c r="P34" s="267"/>
      <c r="Q34" s="267"/>
      <c r="R34" s="284"/>
      <c r="S34" s="257"/>
      <c r="T34" s="267"/>
      <c r="U34" s="257"/>
      <c r="V34" s="37" t="s">
        <v>480</v>
      </c>
      <c r="W34" s="256"/>
      <c r="X34" s="259"/>
      <c r="Y34" s="35"/>
      <c r="AA34" s="51" t="str">
        <f>IFERROR(__xludf.DUMMYFUNCTION("""COMPUTED_VALUE"""),"METODE PEMBUATAN FOTOKATODA FILM TIPIS Pt-In₂S₃/CuInS₂ YANG DISEMPURNAKAN")</f>
        <v>METODE PEMBUATAN FOTOKATODA FILM TIPIS Pt-In₂S₃/CuInS₂ YANG DISEMPURNAKAN</v>
      </c>
      <c r="AB34" s="51" t="str">
        <f>IFERROR(__xludf.DUMMYFUNCTION("""COMPUTED_VALUE"""),"Terdaftar DJKI")</f>
        <v>Terdaftar DJKI</v>
      </c>
      <c r="AC34" s="51" t="str">
        <f>IFERROR(__xludf.DUMMYFUNCTION("""COMPUTED_VALUE"""),"S00202309584")</f>
        <v>S00202309584</v>
      </c>
      <c r="AD34" s="280"/>
    </row>
    <row r="35" ht="15.75" customHeight="1">
      <c r="A35" s="227">
        <v>30.0</v>
      </c>
      <c r="B35" s="228"/>
      <c r="C35" s="288"/>
      <c r="D35" s="289"/>
      <c r="E35" s="259"/>
      <c r="F35" s="267"/>
      <c r="G35" s="267"/>
      <c r="H35" s="267"/>
      <c r="I35" s="267"/>
      <c r="J35" s="267"/>
      <c r="K35" s="267"/>
      <c r="L35" s="267"/>
      <c r="M35" s="267"/>
      <c r="N35" s="267"/>
      <c r="O35" s="259"/>
      <c r="P35" s="267"/>
      <c r="Q35" s="267"/>
      <c r="R35" s="284"/>
      <c r="S35" s="293"/>
      <c r="T35" s="267"/>
      <c r="U35" s="257"/>
      <c r="V35" s="37" t="s">
        <v>480</v>
      </c>
      <c r="W35" s="256"/>
      <c r="X35" s="259"/>
      <c r="Y35" s="35"/>
      <c r="AA35" s="51" t="str">
        <f>IFERROR(__xludf.DUMMYFUNCTION("""COMPUTED_VALUE"""),"FOTOKATODA FILM TIPIS Pt-In₂S₃/CuInS₂ YANG DISEMPURNAKAN SEBAGAI PEMECAH AIR UNTUK MENGHASILKAN HIDROGEN")</f>
        <v>FOTOKATODA FILM TIPIS Pt-In₂S₃/CuInS₂ YANG DISEMPURNAKAN SEBAGAI PEMECAH AIR UNTUK MENGHASILKAN HIDROGEN</v>
      </c>
      <c r="AB35" s="51" t="str">
        <f>IFERROR(__xludf.DUMMYFUNCTION("""COMPUTED_VALUE"""),"Terdaftar DJKI")</f>
        <v>Terdaftar DJKI</v>
      </c>
      <c r="AC35" s="294" t="str">
        <f>IFERROR(__xludf.DUMMYFUNCTION("""COMPUTED_VALUE"""),"S00202309586")</f>
        <v>S00202309586</v>
      </c>
      <c r="AD35" s="280"/>
    </row>
    <row r="36" ht="15.75" customHeight="1">
      <c r="A36" s="227">
        <v>31.0</v>
      </c>
      <c r="B36" s="228"/>
      <c r="C36" s="288"/>
      <c r="D36" s="289"/>
      <c r="E36" s="259"/>
      <c r="F36" s="267"/>
      <c r="G36" s="267"/>
      <c r="H36" s="267"/>
      <c r="I36" s="267"/>
      <c r="J36" s="267"/>
      <c r="K36" s="267"/>
      <c r="L36" s="267"/>
      <c r="M36" s="267"/>
      <c r="N36" s="267"/>
      <c r="O36" s="259"/>
      <c r="P36" s="267"/>
      <c r="Q36" s="267"/>
      <c r="R36" s="284"/>
      <c r="S36" s="293"/>
      <c r="T36" s="267"/>
      <c r="U36" s="257"/>
      <c r="V36" s="37" t="s">
        <v>480</v>
      </c>
      <c r="W36" s="256"/>
      <c r="X36" s="259"/>
      <c r="Y36" s="35"/>
      <c r="AA36" s="51" t="str">
        <f>IFERROR(__xludf.DUMMYFUNCTION("""COMPUTED_VALUE"""),"Simulator OCPP v1.6 Charging Station Tester")</f>
        <v>Simulator OCPP v1.6 Charging Station Tester</v>
      </c>
      <c r="AB36" s="51" t="str">
        <f>IFERROR(__xludf.DUMMYFUNCTION("""COMPUTED_VALUE"""),"Terdaftar DJKI")</f>
        <v>Terdaftar DJKI</v>
      </c>
      <c r="AC36" s="51" t="str">
        <f>IFERROR(__xludf.DUMMYFUNCTION("""COMPUTED_VALUE"""),"B-2412/III.6.2/HK.02/5/2023")</f>
        <v>B-2412/III.6.2/HK.02/5/2023</v>
      </c>
      <c r="AD36" s="280"/>
    </row>
    <row r="37" ht="15.75" customHeight="1">
      <c r="A37" s="227">
        <v>32.0</v>
      </c>
      <c r="B37" s="228"/>
      <c r="C37" s="288"/>
      <c r="D37" s="289"/>
      <c r="E37" s="259"/>
      <c r="F37" s="267"/>
      <c r="G37" s="267"/>
      <c r="H37" s="267"/>
      <c r="I37" s="267"/>
      <c r="J37" s="267"/>
      <c r="K37" s="267"/>
      <c r="L37" s="267"/>
      <c r="M37" s="267"/>
      <c r="N37" s="267"/>
      <c r="O37" s="259"/>
      <c r="P37" s="267"/>
      <c r="Q37" s="267"/>
      <c r="R37" s="284"/>
      <c r="S37" s="293"/>
      <c r="T37" s="267"/>
      <c r="U37" s="257"/>
      <c r="V37" s="37" t="s">
        <v>480</v>
      </c>
      <c r="W37" s="256"/>
      <c r="X37" s="259"/>
      <c r="Y37" s="35"/>
      <c r="AA37" s="51" t="str">
        <f>IFERROR(__xludf.DUMMYFUNCTION("""COMPUTED_VALUE"""),"Alat Ukur Kadar Alkohol dan Pendeteksi Zat Aditif pada Makanan secara Digital dan Metode Pengukurannya")</f>
        <v>Alat Ukur Kadar Alkohol dan Pendeteksi Zat Aditif pada Makanan secara Digital dan Metode Pengukurannya</v>
      </c>
      <c r="AB37" s="51" t="str">
        <f>IFERROR(__xludf.DUMMYFUNCTION("""COMPUTED_VALUE"""),"Terdaftar DJKI")</f>
        <v>Terdaftar DJKI</v>
      </c>
      <c r="AC37" s="51" t="str">
        <f>IFERROR(__xludf.DUMMYFUNCTION("""COMPUTED_VALUE"""),"P00202311478")</f>
        <v>P00202311478</v>
      </c>
      <c r="AD37" s="280"/>
    </row>
    <row r="38" ht="15.75" customHeight="1">
      <c r="A38" s="227">
        <v>33.0</v>
      </c>
      <c r="B38" s="228"/>
      <c r="C38" s="288"/>
      <c r="D38" s="289"/>
      <c r="E38" s="259"/>
      <c r="F38" s="267"/>
      <c r="G38" s="267"/>
      <c r="H38" s="267"/>
      <c r="I38" s="267"/>
      <c r="J38" s="267"/>
      <c r="K38" s="267"/>
      <c r="L38" s="267"/>
      <c r="M38" s="267"/>
      <c r="N38" s="267"/>
      <c r="O38" s="259"/>
      <c r="P38" s="267"/>
      <c r="Q38" s="267"/>
      <c r="R38" s="284"/>
      <c r="S38" s="293"/>
      <c r="T38" s="267"/>
      <c r="U38" s="257"/>
      <c r="V38" s="37" t="s">
        <v>480</v>
      </c>
      <c r="W38" s="256"/>
      <c r="X38" s="259"/>
      <c r="Y38" s="35"/>
      <c r="AA38" s="51" t="str">
        <f>IFERROR(__xludf.DUMMYFUNCTION("""COMPUTED_VALUE"""),"Proses Pembuatan Ferrofluid dari Pasir Besi Alam")</f>
        <v>Proses Pembuatan Ferrofluid dari Pasir Besi Alam</v>
      </c>
      <c r="AB38" s="51" t="str">
        <f>IFERROR(__xludf.DUMMYFUNCTION("""COMPUTED_VALUE"""),"Terdaftar DJKI")</f>
        <v>Terdaftar DJKI</v>
      </c>
      <c r="AC38" s="295" t="str">
        <f>IFERROR(__xludf.DUMMYFUNCTION("""COMPUTED_VALUE"""),"P00202312302")</f>
        <v>P00202312302</v>
      </c>
      <c r="AD38" s="280"/>
    </row>
    <row r="39" ht="15.75" customHeight="1">
      <c r="A39" s="227">
        <v>34.0</v>
      </c>
      <c r="B39" s="228" t="str">
        <f t="shared" ref="B39:B70" si="2">IF(E39&lt;&gt;"",IF(B39="",NOW(),B39),"")</f>
        <v/>
      </c>
      <c r="C39" s="288"/>
      <c r="D39" s="289"/>
      <c r="E39" s="259"/>
      <c r="F39" s="267"/>
      <c r="G39" s="267"/>
      <c r="H39" s="267"/>
      <c r="I39" s="267"/>
      <c r="J39" s="267"/>
      <c r="K39" s="267"/>
      <c r="L39" s="267"/>
      <c r="M39" s="267"/>
      <c r="N39" s="267"/>
      <c r="O39" s="259"/>
      <c r="P39" s="267"/>
      <c r="Q39" s="267"/>
      <c r="R39" s="284"/>
      <c r="S39" s="293"/>
      <c r="T39" s="267"/>
      <c r="U39" s="257"/>
      <c r="V39" s="37" t="s">
        <v>480</v>
      </c>
      <c r="W39" s="256"/>
      <c r="X39" s="259"/>
      <c r="Y39" s="35"/>
      <c r="AA39" s="296" t="str">
        <f>IFERROR(__xludf.DUMMYFUNCTION("""COMPUTED_VALUE"""),"ALAT DETEKSI KESEGARAN DAGING MENGGUNAKAN HIDUNG ELEKTRONIK (ELECTRONIC- NOSE) DENGAN MULTIKONFIGURASI SENSOR")</f>
        <v>ALAT DETEKSI KESEGARAN DAGING MENGGUNAKAN HIDUNG ELEKTRONIK (ELECTRONIC- NOSE) DENGAN MULTIKONFIGURASI SENSOR</v>
      </c>
      <c r="AB39" s="51" t="str">
        <f>IFERROR(__xludf.DUMMYFUNCTION("""COMPUTED_VALUE"""),"Terdaftar DJKI")</f>
        <v>Terdaftar DJKI</v>
      </c>
      <c r="AC39" s="51" t="str">
        <f>IFERROR(__xludf.DUMMYFUNCTION("""COMPUTED_VALUE"""),"P00202311502")</f>
        <v>P00202311502</v>
      </c>
      <c r="AD39" s="280"/>
    </row>
    <row r="40" ht="15.75" customHeight="1">
      <c r="A40" s="227">
        <v>35.0</v>
      </c>
      <c r="B40" s="228" t="str">
        <f t="shared" si="2"/>
        <v/>
      </c>
      <c r="C40" s="281"/>
      <c r="D40" s="277"/>
      <c r="E40" s="259"/>
      <c r="F40" s="267"/>
      <c r="G40" s="267"/>
      <c r="H40" s="267"/>
      <c r="I40" s="267"/>
      <c r="J40" s="267"/>
      <c r="K40" s="267"/>
      <c r="L40" s="267"/>
      <c r="M40" s="267"/>
      <c r="N40" s="267"/>
      <c r="O40" s="259"/>
      <c r="P40" s="267"/>
      <c r="Q40" s="267"/>
      <c r="R40" s="284"/>
      <c r="S40" s="293"/>
      <c r="T40" s="267"/>
      <c r="U40" s="257"/>
      <c r="V40" s="37" t="s">
        <v>480</v>
      </c>
      <c r="W40" s="256"/>
      <c r="X40" s="297"/>
      <c r="Y40" s="298"/>
      <c r="AA40" s="296" t="str">
        <f>IFERROR(__xludf.DUMMYFUNCTION("""COMPUTED_VALUE"""),"Perangkat Lunak Human Machine Interface (HMI) Sistem Otomasi Kapal Hisap")</f>
        <v>Perangkat Lunak Human Machine Interface (HMI) Sistem Otomasi Kapal Hisap</v>
      </c>
      <c r="AB40" s="51" t="str">
        <f>IFERROR(__xludf.DUMMYFUNCTION("""COMPUTED_VALUE"""),"Terdaftar DJKI")</f>
        <v>Terdaftar DJKI</v>
      </c>
      <c r="AC40" s="51" t="str">
        <f>IFERROR(__xludf.DUMMYFUNCTION("""COMPUTED_VALUE"""),"EC00202374395")</f>
        <v>EC00202374395</v>
      </c>
      <c r="AD40" s="280"/>
    </row>
    <row r="41" ht="15.75" customHeight="1">
      <c r="A41" s="227">
        <v>36.0</v>
      </c>
      <c r="B41" s="228" t="str">
        <f t="shared" si="2"/>
        <v/>
      </c>
      <c r="C41" s="136"/>
      <c r="D41" s="299"/>
      <c r="E41" s="259"/>
      <c r="F41" s="267"/>
      <c r="G41" s="267"/>
      <c r="H41" s="267"/>
      <c r="I41" s="267"/>
      <c r="J41" s="267"/>
      <c r="K41" s="267"/>
      <c r="L41" s="267"/>
      <c r="M41" s="267"/>
      <c r="N41" s="267"/>
      <c r="O41" s="259"/>
      <c r="P41" s="267"/>
      <c r="Q41" s="267"/>
      <c r="R41" s="284"/>
      <c r="S41" s="293"/>
      <c r="T41" s="267"/>
      <c r="U41" s="257"/>
      <c r="V41" s="37" t="s">
        <v>480</v>
      </c>
      <c r="W41" s="256"/>
      <c r="X41" s="259"/>
      <c r="Y41" s="285"/>
      <c r="AA41" s="51" t="str">
        <f>IFERROR(__xludf.DUMMYFUNCTION("""COMPUTED_VALUE"""),"Counter electrode berbasis komposit karbon untuk sel surya monolitik tersensitasi pewarna dan proses pembuatannya")</f>
        <v>Counter electrode berbasis komposit karbon untuk sel surya monolitik tersensitasi pewarna dan proses pembuatannya</v>
      </c>
      <c r="AB41" s="51" t="str">
        <f>IFERROR(__xludf.DUMMYFUNCTION("""COMPUTED_VALUE"""),"Tersertifikasi")</f>
        <v>Tersertifikasi</v>
      </c>
      <c r="AC41" s="51" t="str">
        <f>IFERROR(__xludf.DUMMYFUNCTION("""COMPUTED_VALUE"""),"P00201805631")</f>
        <v>P00201805631</v>
      </c>
      <c r="AD41" s="280"/>
    </row>
    <row r="42" ht="15.75" customHeight="1">
      <c r="A42" s="227">
        <v>37.0</v>
      </c>
      <c r="B42" s="228" t="str">
        <f t="shared" si="2"/>
        <v/>
      </c>
      <c r="C42" s="136"/>
      <c r="D42" s="299"/>
      <c r="E42" s="259"/>
      <c r="F42" s="267"/>
      <c r="G42" s="267"/>
      <c r="H42" s="267"/>
      <c r="I42" s="267"/>
      <c r="J42" s="267"/>
      <c r="K42" s="267"/>
      <c r="L42" s="267"/>
      <c r="M42" s="267"/>
      <c r="N42" s="267"/>
      <c r="O42" s="259"/>
      <c r="P42" s="267"/>
      <c r="Q42" s="267"/>
      <c r="R42" s="284"/>
      <c r="S42" s="293"/>
      <c r="T42" s="267"/>
      <c r="U42" s="257"/>
      <c r="V42" s="37" t="s">
        <v>480</v>
      </c>
      <c r="W42" s="256"/>
      <c r="X42" s="259"/>
      <c r="Y42" s="285"/>
      <c r="AA42" s="51" t="str">
        <f>IFERROR(__xludf.DUMMYFUNCTION("""COMPUTED_VALUE"""),"SisMonAWS")</f>
        <v>SisMonAWS</v>
      </c>
      <c r="AB42" s="51" t="str">
        <f>IFERROR(__xludf.DUMMYFUNCTION("""COMPUTED_VALUE"""),"Tersertifikasi")</f>
        <v>Tersertifikasi</v>
      </c>
      <c r="AC42" s="51" t="str">
        <f>IFERROR(__xludf.DUMMYFUNCTION("""COMPUTED_VALUE"""),"B-8955/III.6.2/TK.11.01/10/2023")</f>
        <v>B-8955/III.6.2/TK.11.01/10/2023</v>
      </c>
      <c r="AD42" s="280"/>
    </row>
    <row r="43" ht="15.75" customHeight="1">
      <c r="A43" s="227">
        <v>38.0</v>
      </c>
      <c r="B43" s="228" t="str">
        <f t="shared" si="2"/>
        <v/>
      </c>
      <c r="C43" s="281"/>
      <c r="D43" s="277"/>
      <c r="E43" s="259"/>
      <c r="F43" s="267"/>
      <c r="G43" s="267"/>
      <c r="H43" s="267"/>
      <c r="I43" s="267"/>
      <c r="J43" s="267"/>
      <c r="K43" s="267"/>
      <c r="L43" s="267"/>
      <c r="M43" s="267"/>
      <c r="N43" s="267"/>
      <c r="O43" s="259"/>
      <c r="P43" s="267"/>
      <c r="Q43" s="267"/>
      <c r="R43" s="284"/>
      <c r="S43" s="293"/>
      <c r="T43" s="267"/>
      <c r="U43" s="257"/>
      <c r="V43" s="37" t="s">
        <v>480</v>
      </c>
      <c r="W43" s="256"/>
      <c r="X43" s="297"/>
      <c r="Y43" s="300"/>
      <c r="AA43" s="51" t="str">
        <f>IFERROR(__xludf.DUMMYFUNCTION("""COMPUTED_VALUE"""),"Adapter Protokol Komunikasi Sistem Manajemen Baterai Kendaraan Listrik Roda Dua")</f>
        <v>Adapter Protokol Komunikasi Sistem Manajemen Baterai Kendaraan Listrik Roda Dua</v>
      </c>
      <c r="AB43" s="51" t="str">
        <f>IFERROR(__xludf.DUMMYFUNCTION("""COMPUTED_VALUE"""),"Terdaftar DJKI")</f>
        <v>Terdaftar DJKI</v>
      </c>
      <c r="AC43" s="51" t="str">
        <f>IFERROR(__xludf.DUMMYFUNCTION("""COMPUTED_VALUE"""),"P00202311483")</f>
        <v>P00202311483</v>
      </c>
      <c r="AD43" s="280"/>
    </row>
    <row r="44" ht="15.75" customHeight="1">
      <c r="A44" s="227">
        <v>39.0</v>
      </c>
      <c r="B44" s="228" t="str">
        <f t="shared" si="2"/>
        <v/>
      </c>
      <c r="C44" s="281"/>
      <c r="D44" s="277"/>
      <c r="E44" s="301"/>
      <c r="F44" s="267"/>
      <c r="G44" s="267"/>
      <c r="H44" s="267"/>
      <c r="I44" s="267"/>
      <c r="J44" s="267"/>
      <c r="K44" s="267"/>
      <c r="L44" s="267"/>
      <c r="M44" s="267"/>
      <c r="N44" s="267"/>
      <c r="O44" s="259"/>
      <c r="P44" s="267"/>
      <c r="Q44" s="267"/>
      <c r="R44" s="284"/>
      <c r="S44" s="302"/>
      <c r="T44" s="267"/>
      <c r="U44" s="257"/>
      <c r="V44" s="37" t="s">
        <v>480</v>
      </c>
      <c r="W44" s="256"/>
      <c r="X44" s="259"/>
      <c r="Y44" s="285"/>
      <c r="AA44" s="296" t="str">
        <f>IFERROR(__xludf.DUMMYFUNCTION("""COMPUTED_VALUE"""),"PERANGKAT PEMANTAUAN DAN KENDALI OTOMATIS UNTUK HIDROPONIK DAN PERIKANAN")</f>
        <v>PERANGKAT PEMANTAUAN DAN KENDALI OTOMATIS UNTUK HIDROPONIK DAN PERIKANAN</v>
      </c>
      <c r="AB44" s="51" t="str">
        <f>IFERROR(__xludf.DUMMYFUNCTION("""COMPUTED_VALUE"""),"Terdaftar DJKI")</f>
        <v>Terdaftar DJKI</v>
      </c>
      <c r="AC44" s="294" t="str">
        <f>IFERROR(__xludf.DUMMYFUNCTION("""COMPUTED_VALUE"""),"A00202305243")</f>
        <v>A00202305243</v>
      </c>
      <c r="AD44" s="280"/>
    </row>
    <row r="45" ht="15.75" customHeight="1">
      <c r="A45" s="227">
        <v>40.0</v>
      </c>
      <c r="B45" s="228" t="str">
        <f t="shared" si="2"/>
        <v/>
      </c>
      <c r="C45" s="281"/>
      <c r="D45" s="277"/>
      <c r="E45" s="303"/>
      <c r="F45" s="267"/>
      <c r="G45" s="304"/>
      <c r="H45" s="304"/>
      <c r="I45" s="304"/>
      <c r="J45" s="304"/>
      <c r="K45" s="304"/>
      <c r="L45" s="304"/>
      <c r="M45" s="304"/>
      <c r="N45" s="304"/>
      <c r="O45" s="259"/>
      <c r="P45" s="267"/>
      <c r="Q45" s="267"/>
      <c r="R45" s="284"/>
      <c r="S45" s="259"/>
      <c r="T45" s="303"/>
      <c r="U45" s="257"/>
      <c r="V45" s="37" t="s">
        <v>480</v>
      </c>
      <c r="W45" s="256"/>
      <c r="X45" s="259"/>
      <c r="Y45" s="285"/>
      <c r="AA45" s="165" t="str">
        <f>IFERROR(__xludf.DUMMYFUNCTION("""COMPUTED_VALUE"""),"MotipSim Versi 1.0")</f>
        <v>MotipSim Versi 1.0</v>
      </c>
      <c r="AB45" s="165" t="str">
        <f>IFERROR(__xludf.DUMMYFUNCTION("""COMPUTED_VALUE"""),"Tersertifikasi")</f>
        <v>Tersertifikasi</v>
      </c>
      <c r="AC45" s="165" t="str">
        <f>IFERROR(__xludf.DUMMYFUNCTION("""COMPUTED_VALUE"""),"EC00202391399")</f>
        <v>EC00202391399</v>
      </c>
      <c r="AD45" s="165"/>
    </row>
    <row r="46" ht="15.75" customHeight="1">
      <c r="A46" s="227">
        <v>41.0</v>
      </c>
      <c r="B46" s="228" t="str">
        <f t="shared" si="2"/>
        <v/>
      </c>
      <c r="C46" s="281"/>
      <c r="D46" s="277"/>
      <c r="E46" s="305"/>
      <c r="F46" s="267"/>
      <c r="G46" s="306"/>
      <c r="H46" s="306"/>
      <c r="I46" s="306"/>
      <c r="J46" s="306"/>
      <c r="K46" s="306"/>
      <c r="L46" s="306"/>
      <c r="M46" s="306"/>
      <c r="N46" s="306"/>
      <c r="O46" s="259"/>
      <c r="P46" s="267"/>
      <c r="Q46" s="267"/>
      <c r="R46" s="284"/>
      <c r="S46" s="257"/>
      <c r="T46" s="307"/>
      <c r="U46" s="257"/>
      <c r="V46" s="37" t="s">
        <v>480</v>
      </c>
      <c r="W46" s="256"/>
      <c r="X46" s="259"/>
      <c r="Y46" s="285"/>
      <c r="AA46" s="165" t="str">
        <f>IFERROR(__xludf.DUMMYFUNCTION("""COMPUTED_VALUE"""),"Aplikasi Tews Mobile Sebagai Setting Parameter Dan Monitoring Inabuoy Menggunakan Komunikasi Bluetooth Low Energy")</f>
        <v>Aplikasi Tews Mobile Sebagai Setting Parameter Dan Monitoring Inabuoy Menggunakan Komunikasi Bluetooth Low Energy</v>
      </c>
      <c r="AB46" s="165" t="str">
        <f>IFERROR(__xludf.DUMMYFUNCTION("""COMPUTED_VALUE"""),"Tersertifikasi")</f>
        <v>Tersertifikasi</v>
      </c>
      <c r="AC46" s="165" t="str">
        <f>IFERROR(__xludf.DUMMYFUNCTION("""COMPUTED_VALUE"""),"EC00202391405")</f>
        <v>EC00202391405</v>
      </c>
      <c r="AD46" s="165"/>
    </row>
    <row r="47" ht="15.75" customHeight="1">
      <c r="A47" s="227">
        <v>42.0</v>
      </c>
      <c r="B47" s="228" t="str">
        <f t="shared" si="2"/>
        <v/>
      </c>
      <c r="C47" s="281"/>
      <c r="D47" s="277"/>
      <c r="E47" s="305"/>
      <c r="F47" s="267"/>
      <c r="G47" s="306"/>
      <c r="H47" s="306"/>
      <c r="I47" s="306"/>
      <c r="J47" s="306"/>
      <c r="K47" s="306"/>
      <c r="L47" s="306"/>
      <c r="M47" s="306"/>
      <c r="N47" s="306"/>
      <c r="O47" s="259"/>
      <c r="P47" s="267"/>
      <c r="Q47" s="267"/>
      <c r="R47" s="284"/>
      <c r="S47" s="259"/>
      <c r="T47" s="307"/>
      <c r="U47" s="257"/>
      <c r="V47" s="37" t="s">
        <v>480</v>
      </c>
      <c r="W47" s="256"/>
      <c r="X47" s="259"/>
      <c r="Y47" s="285"/>
      <c r="AA47" s="165" t="str">
        <f>IFERROR(__xludf.DUMMYFUNCTION("""COMPUTED_VALUE"""),"PERANGKAT LUNAK PLC &amp; SCADA UNTUK SISTEM KENDALI DAN PENGAWASAN BOILER BERBAHAN BAKAR AMPAS TEBU")</f>
        <v>PERANGKAT LUNAK PLC &amp; SCADA UNTUK SISTEM KENDALI DAN PENGAWASAN BOILER BERBAHAN BAKAR AMPAS TEBU</v>
      </c>
      <c r="AB47" s="165" t="str">
        <f>IFERROR(__xludf.DUMMYFUNCTION("""COMPUTED_VALUE"""),"Tersertifikasi")</f>
        <v>Tersertifikasi</v>
      </c>
      <c r="AC47" s="165" t="str">
        <f>IFERROR(__xludf.DUMMYFUNCTION("""COMPUTED_VALUE"""),"EC002023123722")</f>
        <v>EC002023123722</v>
      </c>
      <c r="AD47" s="165"/>
    </row>
    <row r="48" ht="15.75" customHeight="1">
      <c r="A48" s="227">
        <v>43.0</v>
      </c>
      <c r="B48" s="228" t="str">
        <f t="shared" si="2"/>
        <v/>
      </c>
      <c r="C48" s="281"/>
      <c r="D48" s="277"/>
      <c r="E48" s="305"/>
      <c r="F48" s="267"/>
      <c r="G48" s="306"/>
      <c r="H48" s="306"/>
      <c r="I48" s="306"/>
      <c r="J48" s="306"/>
      <c r="K48" s="306"/>
      <c r="L48" s="306"/>
      <c r="M48" s="306"/>
      <c r="N48" s="306"/>
      <c r="O48" s="259"/>
      <c r="P48" s="267"/>
      <c r="Q48" s="267"/>
      <c r="R48" s="284"/>
      <c r="S48" s="257"/>
      <c r="T48" s="307"/>
      <c r="U48" s="257"/>
      <c r="V48" s="37" t="s">
        <v>480</v>
      </c>
      <c r="W48" s="256"/>
      <c r="X48" s="259"/>
      <c r="Y48" s="285"/>
      <c r="AA48" s="165" t="str">
        <f>IFERROR(__xludf.DUMMYFUNCTION("""COMPUTED_VALUE"""),"PERANGKAT LUNAK PLC &amp; SCADA UNTUK SISTEM KENDALI DAN PENGAWASAN VACUUM PAN")</f>
        <v>PERANGKAT LUNAK PLC &amp; SCADA UNTUK SISTEM KENDALI DAN PENGAWASAN VACUUM PAN</v>
      </c>
      <c r="AB48" s="165" t="str">
        <f>IFERROR(__xludf.DUMMYFUNCTION("""COMPUTED_VALUE"""),"Tersertifikasi")</f>
        <v>Tersertifikasi</v>
      </c>
      <c r="AC48" s="165" t="str">
        <f>IFERROR(__xludf.DUMMYFUNCTION("""COMPUTED_VALUE"""),"EC002023123729")</f>
        <v>EC002023123729</v>
      </c>
      <c r="AD48" s="165"/>
    </row>
    <row r="49" ht="15.75" customHeight="1">
      <c r="A49" s="227">
        <v>44.0</v>
      </c>
      <c r="B49" s="228" t="str">
        <f t="shared" si="2"/>
        <v/>
      </c>
      <c r="C49" s="281"/>
      <c r="D49" s="277"/>
      <c r="E49" s="305"/>
      <c r="F49" s="267"/>
      <c r="G49" s="306"/>
      <c r="H49" s="306"/>
      <c r="I49" s="306"/>
      <c r="J49" s="306"/>
      <c r="K49" s="306"/>
      <c r="L49" s="306"/>
      <c r="M49" s="306"/>
      <c r="N49" s="306"/>
      <c r="O49" s="259"/>
      <c r="P49" s="267"/>
      <c r="Q49" s="267"/>
      <c r="R49" s="284"/>
      <c r="S49" s="259"/>
      <c r="T49" s="307"/>
      <c r="U49" s="257"/>
      <c r="V49" s="37" t="s">
        <v>480</v>
      </c>
      <c r="W49" s="256"/>
      <c r="X49" s="259"/>
      <c r="Y49" s="285"/>
      <c r="AA49" s="165" t="str">
        <f>IFERROR(__xludf.DUMMYFUNCTION("""COMPUTED_VALUE"""),"Pilot in The Loop")</f>
        <v>Pilot in The Loop</v>
      </c>
      <c r="AB49" s="165" t="str">
        <f>IFERROR(__xludf.DUMMYFUNCTION("""COMPUTED_VALUE"""),"Tersertifikasi")</f>
        <v>Tersertifikasi</v>
      </c>
      <c r="AC49" s="165" t="str">
        <f>IFERROR(__xludf.DUMMYFUNCTION("""COMPUTED_VALUE"""),"EC002023133148")</f>
        <v>EC002023133148</v>
      </c>
      <c r="AD49" s="165"/>
    </row>
    <row r="50" ht="15.75" customHeight="1">
      <c r="A50" s="227">
        <v>45.0</v>
      </c>
      <c r="B50" s="228" t="str">
        <f t="shared" si="2"/>
        <v/>
      </c>
      <c r="C50" s="281"/>
      <c r="D50" s="277"/>
      <c r="E50" s="259"/>
      <c r="F50" s="267"/>
      <c r="G50" s="308"/>
      <c r="H50" s="308"/>
      <c r="I50" s="308"/>
      <c r="J50" s="308"/>
      <c r="K50" s="308"/>
      <c r="L50" s="308"/>
      <c r="M50" s="308"/>
      <c r="N50" s="308"/>
      <c r="O50" s="259"/>
      <c r="P50" s="267"/>
      <c r="Q50" s="267"/>
      <c r="R50" s="284"/>
      <c r="S50" s="259"/>
      <c r="T50" s="267"/>
      <c r="U50" s="267"/>
      <c r="V50" s="37" t="s">
        <v>480</v>
      </c>
      <c r="W50" s="256"/>
      <c r="X50" s="259"/>
      <c r="Y50" s="285"/>
      <c r="AA50" s="165" t="str">
        <f>IFERROR(__xludf.DUMMYFUNCTION("""COMPUTED_VALUE"""),"Pengendali Adaptif Pada Sistem Listrik Tenaga Surya Dengan Beban Induktif")</f>
        <v>Pengendali Adaptif Pada Sistem Listrik Tenaga Surya Dengan Beban Induktif</v>
      </c>
      <c r="AB50" s="165" t="str">
        <f>IFERROR(__xludf.DUMMYFUNCTION("""COMPUTED_VALUE"""),"Tersertifikasi")</f>
        <v>Tersertifikasi</v>
      </c>
      <c r="AC50" s="165" t="str">
        <f>IFERROR(__xludf.DUMMYFUNCTION("""COMPUTED_VALUE"""),"EC002023133149")</f>
        <v>EC002023133149</v>
      </c>
      <c r="AD50" s="165"/>
    </row>
    <row r="51" ht="15.75" customHeight="1">
      <c r="A51" s="227">
        <v>46.0</v>
      </c>
      <c r="B51" s="228" t="str">
        <f t="shared" si="2"/>
        <v/>
      </c>
      <c r="C51" s="281"/>
      <c r="D51" s="277"/>
      <c r="E51" s="259"/>
      <c r="F51" s="267"/>
      <c r="G51" s="267"/>
      <c r="H51" s="267"/>
      <c r="I51" s="267"/>
      <c r="J51" s="267"/>
      <c r="K51" s="267"/>
      <c r="L51" s="267"/>
      <c r="M51" s="267"/>
      <c r="N51" s="267"/>
      <c r="O51" s="259"/>
      <c r="P51" s="267"/>
      <c r="Q51" s="267"/>
      <c r="R51" s="284"/>
      <c r="S51" s="257"/>
      <c r="T51" s="267"/>
      <c r="U51" s="267"/>
      <c r="V51" s="37" t="s">
        <v>480</v>
      </c>
      <c r="W51" s="256"/>
      <c r="X51" s="259"/>
      <c r="Y51" s="285"/>
      <c r="AA51" s="165" t="str">
        <f>IFERROR(__xludf.DUMMYFUNCTION("""COMPUTED_VALUE"""),"Dataset Karakteristik Spektrum Cahaya pada Daging menggunakan Metode Reflektansi")</f>
        <v>Dataset Karakteristik Spektrum Cahaya pada Daging menggunakan Metode Reflektansi</v>
      </c>
      <c r="AB51" s="165" t="str">
        <f>IFERROR(__xludf.DUMMYFUNCTION("""COMPUTED_VALUE"""),"Tersertifikasi")</f>
        <v>Tersertifikasi</v>
      </c>
      <c r="AC51" s="165" t="str">
        <f>IFERROR(__xludf.DUMMYFUNCTION("""COMPUTED_VALUE"""),"EC002023123723")</f>
        <v>EC002023123723</v>
      </c>
      <c r="AD51" s="165"/>
    </row>
    <row r="52" ht="15.75" customHeight="1">
      <c r="A52" s="227">
        <v>47.0</v>
      </c>
      <c r="B52" s="228" t="str">
        <f t="shared" si="2"/>
        <v/>
      </c>
      <c r="C52" s="281"/>
      <c r="D52" s="277"/>
      <c r="E52" s="259"/>
      <c r="F52" s="267"/>
      <c r="G52" s="267"/>
      <c r="H52" s="267"/>
      <c r="I52" s="267"/>
      <c r="J52" s="267"/>
      <c r="K52" s="267"/>
      <c r="L52" s="267"/>
      <c r="M52" s="267"/>
      <c r="N52" s="267"/>
      <c r="O52" s="259"/>
      <c r="P52" s="267"/>
      <c r="Q52" s="267"/>
      <c r="R52" s="284"/>
      <c r="S52" s="259"/>
      <c r="T52" s="267"/>
      <c r="U52" s="267"/>
      <c r="V52" s="37" t="s">
        <v>480</v>
      </c>
      <c r="W52" s="256"/>
      <c r="X52" s="259"/>
      <c r="Y52" s="285"/>
      <c r="AA52" s="165" t="str">
        <f>IFERROR(__xludf.DUMMYFUNCTION("""COMPUTED_VALUE"""),"ANTENA MIKROSTIP PATCH ARRAY POLARISASI HORISONTAL DENGAN PEMBAGI DAYA TERINTEGRASI PADA SISTEM PENCATUANNYA")</f>
        <v>ANTENA MIKROSTIP PATCH ARRAY POLARISASI HORISONTAL DENGAN PEMBAGI DAYA TERINTEGRASI PADA SISTEM PENCATUANNYA</v>
      </c>
      <c r="AB52" s="165" t="str">
        <f>IFERROR(__xludf.DUMMYFUNCTION("""COMPUTED_VALUE"""),"Tersertifikasi")</f>
        <v>Tersertifikasi</v>
      </c>
      <c r="AC52" s="165" t="str">
        <f>IFERROR(__xludf.DUMMYFUNCTION("""COMPUTED_VALUE"""),"P00201706641")</f>
        <v>P00201706641</v>
      </c>
      <c r="AD52" s="165"/>
    </row>
    <row r="53" ht="15.75" customHeight="1">
      <c r="A53" s="227">
        <v>48.0</v>
      </c>
      <c r="B53" s="228" t="str">
        <f t="shared" si="2"/>
        <v/>
      </c>
      <c r="C53" s="281"/>
      <c r="D53" s="277"/>
      <c r="E53" s="259"/>
      <c r="F53" s="267"/>
      <c r="G53" s="267"/>
      <c r="H53" s="267"/>
      <c r="I53" s="267"/>
      <c r="J53" s="267"/>
      <c r="K53" s="267"/>
      <c r="L53" s="267"/>
      <c r="M53" s="267"/>
      <c r="N53" s="267"/>
      <c r="O53" s="259"/>
      <c r="P53" s="267"/>
      <c r="Q53" s="267"/>
      <c r="R53" s="284"/>
      <c r="S53" s="259"/>
      <c r="T53" s="267"/>
      <c r="U53" s="267"/>
      <c r="V53" s="37" t="s">
        <v>480</v>
      </c>
      <c r="W53" s="256"/>
      <c r="X53" s="259"/>
      <c r="Y53" s="285"/>
      <c r="AA53" s="165" t="str">
        <f>IFERROR(__xludf.DUMMYFUNCTION("""COMPUTED_VALUE"""),"Aplikasi Pemilu Elektronik (e-Voting)")</f>
        <v>Aplikasi Pemilu Elektronik (e-Voting)</v>
      </c>
      <c r="AB53" s="165" t="str">
        <f>IFERROR(__xludf.DUMMYFUNCTION("""COMPUTED_VALUE"""),"Tanggal Pendaftaran Hak Cipta
 15 Oktober 2023")</f>
        <v>Tanggal Pendaftaran Hak Cipta
 15 Oktober 2023</v>
      </c>
      <c r="AC53" s="165" t="str">
        <f>IFERROR(__xludf.DUMMYFUNCTION("""COMPUTED_VALUE"""),"EC002023102555")</f>
        <v>EC002023102555</v>
      </c>
      <c r="AD53" s="165"/>
    </row>
    <row r="54" ht="15.75" customHeight="1">
      <c r="A54" s="227">
        <v>49.0</v>
      </c>
      <c r="B54" s="228" t="str">
        <f t="shared" si="2"/>
        <v/>
      </c>
      <c r="C54" s="281"/>
      <c r="D54" s="277"/>
      <c r="E54" s="259"/>
      <c r="F54" s="267"/>
      <c r="G54" s="267"/>
      <c r="H54" s="267"/>
      <c r="I54" s="267"/>
      <c r="J54" s="267"/>
      <c r="K54" s="267"/>
      <c r="L54" s="267"/>
      <c r="M54" s="267"/>
      <c r="N54" s="267"/>
      <c r="O54" s="259"/>
      <c r="P54" s="267"/>
      <c r="Q54" s="267"/>
      <c r="R54" s="284"/>
      <c r="S54" s="259"/>
      <c r="T54" s="267"/>
      <c r="U54" s="267"/>
      <c r="V54" s="37" t="s">
        <v>480</v>
      </c>
      <c r="W54" s="256"/>
      <c r="X54" s="259"/>
      <c r="Y54" s="285"/>
      <c r="AA54" s="165" t="str">
        <f>IFERROR(__xludf.DUMMYFUNCTION("""COMPUTED_VALUE"""),"Pemodelan Topik Berita Kendaraan Listrik")</f>
        <v>Pemodelan Topik Berita Kendaraan Listrik</v>
      </c>
      <c r="AB54" s="165" t="str">
        <f>IFERROR(__xludf.DUMMYFUNCTION("""COMPUTED_VALUE"""),"Tanggal Pencatatan Hak Cipta 5 Juni 2023")</f>
        <v>Tanggal Pencatatan Hak Cipta 5 Juni 2023</v>
      </c>
      <c r="AC54" s="165" t="str">
        <f>IFERROR(__xludf.DUMMYFUNCTION("""COMPUTED_VALUE"""),"EC00202391409")</f>
        <v>EC00202391409</v>
      </c>
      <c r="AD54" s="165"/>
    </row>
    <row r="55" ht="15.75" customHeight="1">
      <c r="A55" s="227">
        <v>50.0</v>
      </c>
      <c r="B55" s="228" t="str">
        <f t="shared" si="2"/>
        <v/>
      </c>
      <c r="C55" s="281"/>
      <c r="D55" s="277"/>
      <c r="E55" s="259"/>
      <c r="F55" s="267"/>
      <c r="G55" s="267"/>
      <c r="H55" s="267"/>
      <c r="I55" s="267"/>
      <c r="J55" s="267"/>
      <c r="K55" s="267"/>
      <c r="L55" s="267"/>
      <c r="M55" s="267"/>
      <c r="N55" s="267"/>
      <c r="O55" s="259"/>
      <c r="P55" s="267"/>
      <c r="Q55" s="267"/>
      <c r="R55" s="284"/>
      <c r="S55" s="259"/>
      <c r="T55" s="267"/>
      <c r="U55" s="267"/>
      <c r="V55" s="37" t="s">
        <v>480</v>
      </c>
      <c r="W55" s="256"/>
      <c r="X55" s="259"/>
      <c r="Y55" s="285"/>
      <c r="AA55" s="165" t="str">
        <f>IFERROR(__xludf.DUMMYFUNCTION("""COMPUTED_VALUE"""),"Cida-Cabai (Citra daun cabai varietas balitsa")</f>
        <v>Cida-Cabai (Citra daun cabai varietas balitsa</v>
      </c>
      <c r="AB55" s="165" t="str">
        <f>IFERROR(__xludf.DUMMYFUNCTION("""COMPUTED_VALUE"""),"Tanggal Pendaftaran Hak Cipta 
 15 Oktober 2023")</f>
        <v>Tanggal Pendaftaran Hak Cipta 
 15 Oktober 2023</v>
      </c>
      <c r="AC55" s="165" t="str">
        <f>IFERROR(__xludf.DUMMYFUNCTION("""COMPUTED_VALUE"""),"EC002023112264")</f>
        <v>EC002023112264</v>
      </c>
      <c r="AD55" s="165"/>
    </row>
    <row r="56" ht="15.75" customHeight="1">
      <c r="A56" s="227">
        <v>51.0</v>
      </c>
      <c r="B56" s="228" t="str">
        <f t="shared" si="2"/>
        <v/>
      </c>
      <c r="C56" s="281"/>
      <c r="D56" s="277"/>
      <c r="E56" s="259"/>
      <c r="F56" s="267"/>
      <c r="G56" s="267"/>
      <c r="H56" s="267"/>
      <c r="I56" s="267"/>
      <c r="J56" s="267"/>
      <c r="K56" s="267"/>
      <c r="L56" s="267"/>
      <c r="M56" s="267"/>
      <c r="N56" s="267"/>
      <c r="O56" s="259"/>
      <c r="P56" s="267"/>
      <c r="Q56" s="267"/>
      <c r="R56" s="284"/>
      <c r="S56" s="259"/>
      <c r="T56" s="267"/>
      <c r="U56" s="267"/>
      <c r="V56" s="37" t="s">
        <v>480</v>
      </c>
      <c r="W56" s="256"/>
      <c r="X56" s="259"/>
      <c r="Y56" s="285"/>
      <c r="AA56" s="165" t="str">
        <f>IFERROR(__xludf.DUMMYFUNCTION("""COMPUTED_VALUE"""),"Pendeteksian Kata Tidak Baku dan Optimalisasi PraProses untuk Peningkatan Performa Analisis Sentimen pada data Tweet Bahasa Indonesia dengan Inset dan Vader")</f>
        <v>Pendeteksian Kata Tidak Baku dan Optimalisasi PraProses untuk Peningkatan Performa Analisis Sentimen pada data Tweet Bahasa Indonesia dengan Inset dan Vader</v>
      </c>
      <c r="AB56" s="165" t="str">
        <f>IFERROR(__xludf.DUMMYFUNCTION("""COMPUTED_VALUE"""),"Tanggal Pendaftaran Hak Cipta 
 15 Oktober 2023")</f>
        <v>Tanggal Pendaftaran Hak Cipta 
 15 Oktober 2023</v>
      </c>
      <c r="AC56" s="165" t="str">
        <f>IFERROR(__xludf.DUMMYFUNCTION("""COMPUTED_VALUE"""),"EC002023102556")</f>
        <v>EC002023102556</v>
      </c>
      <c r="AD56" s="165"/>
    </row>
    <row r="57" ht="15.75" customHeight="1">
      <c r="A57" s="227">
        <v>52.0</v>
      </c>
      <c r="B57" s="228" t="str">
        <f t="shared" si="2"/>
        <v/>
      </c>
      <c r="C57" s="281"/>
      <c r="D57" s="277"/>
      <c r="E57" s="259"/>
      <c r="F57" s="267"/>
      <c r="G57" s="267"/>
      <c r="H57" s="267"/>
      <c r="I57" s="267"/>
      <c r="J57" s="267"/>
      <c r="K57" s="267"/>
      <c r="L57" s="267"/>
      <c r="M57" s="267"/>
      <c r="N57" s="267"/>
      <c r="O57" s="259"/>
      <c r="P57" s="267"/>
      <c r="Q57" s="267"/>
      <c r="R57" s="284"/>
      <c r="S57" s="259"/>
      <c r="T57" s="267"/>
      <c r="U57" s="267"/>
      <c r="V57" s="37" t="s">
        <v>480</v>
      </c>
      <c r="W57" s="256"/>
      <c r="X57" s="259"/>
      <c r="Y57" s="285"/>
      <c r="AA57" s="165" t="str">
        <f>IFERROR(__xludf.DUMMYFUNCTION("""COMPUTED_VALUE"""),"Dataset pemodelan bangunan dan lingkungan virtual KST Samaun Samadikun BRIN")</f>
        <v>Dataset pemodelan bangunan dan lingkungan virtual KST Samaun Samadikun BRIN</v>
      </c>
      <c r="AB57" s="165" t="str">
        <f>IFERROR(__xludf.DUMMYFUNCTION("""COMPUTED_VALUE"""),"Tanggal Pendaftaran Hak Cipta 
 15 Oktober 2023")</f>
        <v>Tanggal Pendaftaran Hak Cipta 
 15 Oktober 2023</v>
      </c>
      <c r="AC57" s="165" t="str">
        <f>IFERROR(__xludf.DUMMYFUNCTION("""COMPUTED_VALUE"""),"#VALUE!")</f>
        <v>#VALUE!</v>
      </c>
      <c r="AD57" s="165"/>
    </row>
    <row r="58" ht="15.75" customHeight="1">
      <c r="A58" s="227">
        <v>53.0</v>
      </c>
      <c r="B58" s="228" t="str">
        <f t="shared" si="2"/>
        <v/>
      </c>
      <c r="C58" s="281"/>
      <c r="D58" s="277"/>
      <c r="E58" s="259"/>
      <c r="F58" s="267"/>
      <c r="G58" s="267"/>
      <c r="H58" s="267"/>
      <c r="I58" s="267"/>
      <c r="J58" s="267"/>
      <c r="K58" s="267"/>
      <c r="L58" s="267"/>
      <c r="M58" s="267"/>
      <c r="N58" s="267"/>
      <c r="O58" s="259"/>
      <c r="P58" s="267"/>
      <c r="Q58" s="267"/>
      <c r="R58" s="284"/>
      <c r="S58" s="259"/>
      <c r="T58" s="267"/>
      <c r="U58" s="267"/>
      <c r="V58" s="37" t="s">
        <v>480</v>
      </c>
      <c r="W58" s="256"/>
      <c r="X58" s="232"/>
      <c r="Y58" s="309"/>
      <c r="AA58" s="165" t="str">
        <f>IFERROR(__xludf.DUMMYFUNCTION("""COMPUTED_VALUE"""),"SobatGizi")</f>
        <v>SobatGizi</v>
      </c>
      <c r="AB58" s="165" t="str">
        <f>IFERROR(__xludf.DUMMYFUNCTION("""COMPUTED_VALUE"""),"Granted Hak Cipta 
 11 Desember 2023")</f>
        <v>Granted Hak Cipta 
 11 Desember 2023</v>
      </c>
      <c r="AC58" s="165" t="str">
        <f>IFERROR(__xludf.DUMMYFUNCTION("""COMPUTED_VALUE"""),"EC002023129179")</f>
        <v>EC002023129179</v>
      </c>
      <c r="AD58" s="165"/>
    </row>
    <row r="59" ht="15.75" customHeight="1">
      <c r="A59" s="227">
        <v>54.0</v>
      </c>
      <c r="B59" s="228" t="str">
        <f t="shared" si="2"/>
        <v/>
      </c>
      <c r="C59" s="281"/>
      <c r="D59" s="277"/>
      <c r="E59" s="259"/>
      <c r="F59" s="267"/>
      <c r="G59" s="267"/>
      <c r="H59" s="267"/>
      <c r="I59" s="267"/>
      <c r="J59" s="267"/>
      <c r="K59" s="267"/>
      <c r="L59" s="267"/>
      <c r="M59" s="267"/>
      <c r="N59" s="267"/>
      <c r="O59" s="259"/>
      <c r="P59" s="267"/>
      <c r="Q59" s="267"/>
      <c r="R59" s="284"/>
      <c r="S59" s="259"/>
      <c r="T59" s="267"/>
      <c r="U59" s="267"/>
      <c r="V59" s="37" t="s">
        <v>480</v>
      </c>
      <c r="W59" s="256"/>
      <c r="X59" s="232"/>
      <c r="Y59" s="309"/>
      <c r="AA59" s="165" t="str">
        <f>IFERROR(__xludf.DUMMYFUNCTION("""COMPUTED_VALUE"""),"InaCOVED (Indonesian Corpus for COVID-19 Event Detection) on Online News")</f>
        <v>InaCOVED (Indonesian Corpus for COVID-19 Event Detection) on Online News</v>
      </c>
      <c r="AB59" s="165" t="str">
        <f>IFERROR(__xludf.DUMMYFUNCTION("""COMPUTED_VALUE"""),"Tanggal Pendaftaran Hak Cipta 
 15 Oktober 2023")</f>
        <v>Tanggal Pendaftaran Hak Cipta 
 15 Oktober 2023</v>
      </c>
      <c r="AC59" s="165" t="str">
        <f>IFERROR(__xludf.DUMMYFUNCTION("""COMPUTED_VALUE"""),"EC002023112261")</f>
        <v>EC002023112261</v>
      </c>
      <c r="AD59" s="165"/>
    </row>
    <row r="60" ht="15.75" customHeight="1">
      <c r="A60" s="227">
        <v>55.0</v>
      </c>
      <c r="B60" s="228" t="str">
        <f t="shared" si="2"/>
        <v/>
      </c>
      <c r="C60" s="281"/>
      <c r="D60" s="277"/>
      <c r="E60" s="259"/>
      <c r="F60" s="267"/>
      <c r="G60" s="267"/>
      <c r="H60" s="267"/>
      <c r="I60" s="267"/>
      <c r="J60" s="267"/>
      <c r="K60" s="267"/>
      <c r="L60" s="267"/>
      <c r="M60" s="267"/>
      <c r="N60" s="267"/>
      <c r="O60" s="259"/>
      <c r="P60" s="267"/>
      <c r="Q60" s="267"/>
      <c r="R60" s="284"/>
      <c r="S60" s="259"/>
      <c r="T60" s="267"/>
      <c r="U60" s="267"/>
      <c r="V60" s="37" t="s">
        <v>480</v>
      </c>
      <c r="W60" s="256"/>
      <c r="X60" s="232"/>
      <c r="Y60" s="309"/>
      <c r="AA60" s="165" t="str">
        <f>IFERROR(__xludf.DUMMYFUNCTION("""COMPUTED_VALUE"""),"InaFoodSec - Dataset Sentimen Twitter 50K mengenai Layanan Publik pada Bidang Ketahanan Pangan")</f>
        <v>InaFoodSec - Dataset Sentimen Twitter 50K mengenai Layanan Publik pada Bidang Ketahanan Pangan</v>
      </c>
      <c r="AB60" s="165" t="str">
        <f>IFERROR(__xludf.DUMMYFUNCTION("""COMPUTED_VALUE"""),"Tanggal Pendaftaran Hak Cipta 
 15 Oktober 2023")</f>
        <v>Tanggal Pendaftaran Hak Cipta 
 15 Oktober 2023</v>
      </c>
      <c r="AC60" s="165" t="str">
        <f>IFERROR(__xludf.DUMMYFUNCTION("""COMPUTED_VALUE"""),"EC002023112268")</f>
        <v>EC002023112268</v>
      </c>
      <c r="AD60" s="165"/>
    </row>
    <row r="61" ht="15.75" customHeight="1">
      <c r="A61" s="227">
        <v>56.0</v>
      </c>
      <c r="B61" s="228" t="str">
        <f t="shared" si="2"/>
        <v/>
      </c>
      <c r="C61" s="281"/>
      <c r="D61" s="277"/>
      <c r="E61" s="259"/>
      <c r="F61" s="267"/>
      <c r="G61" s="267"/>
      <c r="H61" s="267"/>
      <c r="I61" s="267"/>
      <c r="J61" s="267"/>
      <c r="K61" s="267"/>
      <c r="L61" s="267"/>
      <c r="M61" s="267"/>
      <c r="N61" s="267"/>
      <c r="O61" s="259"/>
      <c r="P61" s="267"/>
      <c r="Q61" s="267"/>
      <c r="R61" s="267"/>
      <c r="S61" s="267"/>
      <c r="T61" s="267"/>
      <c r="U61" s="267"/>
      <c r="V61" s="37" t="s">
        <v>480</v>
      </c>
      <c r="W61" s="256"/>
      <c r="X61" s="232"/>
      <c r="Y61" s="309"/>
      <c r="AA61" s="165" t="str">
        <f>IFERROR(__xludf.DUMMYFUNCTION("""COMPUTED_VALUE"""),"InaEnviMag - Dataset Sentimen Twitter 50K mengenai Layanan Publik pada Bidang Pengelolaan Lingkungan")</f>
        <v>InaEnviMag - Dataset Sentimen Twitter 50K mengenai Layanan Publik pada Bidang Pengelolaan Lingkungan</v>
      </c>
      <c r="AB61" s="165" t="str">
        <f>IFERROR(__xludf.DUMMYFUNCTION("""COMPUTED_VALUE"""),"Tanggal Pendaftaran Hak Cipta 
 15 Oktober 2023")</f>
        <v>Tanggal Pendaftaran Hak Cipta 
 15 Oktober 2023</v>
      </c>
      <c r="AC61" s="165" t="str">
        <f>IFERROR(__xludf.DUMMYFUNCTION("""COMPUTED_VALUE"""),"EC002023112269")</f>
        <v>EC002023112269</v>
      </c>
      <c r="AD61" s="165"/>
    </row>
    <row r="62" ht="15.75" customHeight="1">
      <c r="A62" s="227">
        <v>57.0</v>
      </c>
      <c r="B62" s="228" t="str">
        <f t="shared" si="2"/>
        <v/>
      </c>
      <c r="C62" s="310"/>
      <c r="D62" s="311"/>
      <c r="E62" s="259"/>
      <c r="F62" s="259"/>
      <c r="G62" s="267"/>
      <c r="H62" s="267"/>
      <c r="I62" s="267"/>
      <c r="J62" s="267"/>
      <c r="K62" s="267"/>
      <c r="L62" s="267"/>
      <c r="M62" s="267"/>
      <c r="N62" s="267"/>
      <c r="O62" s="259"/>
      <c r="P62" s="267"/>
      <c r="Q62" s="267"/>
      <c r="R62" s="259"/>
      <c r="S62" s="312"/>
      <c r="T62" s="267"/>
      <c r="U62" s="267"/>
      <c r="V62" s="37" t="s">
        <v>480</v>
      </c>
      <c r="W62" s="256"/>
      <c r="X62" s="232"/>
      <c r="Y62" s="309"/>
      <c r="AA62" s="165" t="str">
        <f>IFERROR(__xludf.DUMMYFUNCTION("""COMPUTED_VALUE"""),"Aplikasi Web Sistem Monitoring Sidat (SIMOSAT)")</f>
        <v>Aplikasi Web Sistem Monitoring Sidat (SIMOSAT)</v>
      </c>
      <c r="AB62" s="165" t="str">
        <f>IFERROR(__xludf.DUMMYFUNCTION("""COMPUTED_VALUE"""),"Tanggal Pendaftaran Hak Cipta 
 15 Oktober 2023")</f>
        <v>Tanggal Pendaftaran Hak Cipta 
 15 Oktober 2023</v>
      </c>
      <c r="AC62" s="165" t="str">
        <f>IFERROR(__xludf.DUMMYFUNCTION("""COMPUTED_VALUE"""),"EC002023102567")</f>
        <v>EC002023102567</v>
      </c>
      <c r="AD62" s="165"/>
    </row>
    <row r="63" ht="15.75" customHeight="1">
      <c r="A63" s="227">
        <v>58.0</v>
      </c>
      <c r="B63" s="228" t="str">
        <f t="shared" si="2"/>
        <v/>
      </c>
      <c r="C63" s="310"/>
      <c r="D63" s="311"/>
      <c r="E63" s="259"/>
      <c r="F63" s="267"/>
      <c r="G63" s="267"/>
      <c r="H63" s="267"/>
      <c r="I63" s="267"/>
      <c r="J63" s="267"/>
      <c r="K63" s="267"/>
      <c r="L63" s="267"/>
      <c r="M63" s="267"/>
      <c r="N63" s="267"/>
      <c r="O63" s="259"/>
      <c r="P63" s="267"/>
      <c r="Q63" s="267"/>
      <c r="R63" s="267"/>
      <c r="S63" s="267"/>
      <c r="T63" s="267"/>
      <c r="U63" s="267"/>
      <c r="V63" s="37" t="s">
        <v>480</v>
      </c>
      <c r="W63" s="256"/>
      <c r="X63" s="232"/>
      <c r="Y63" s="309"/>
      <c r="AA63" s="165" t="str">
        <f>IFERROR(__xludf.DUMMYFUNCTION("""COMPUTED_VALUE"""),"Dataset Citra Tanaman Hoya Indonesia")</f>
        <v>Dataset Citra Tanaman Hoya Indonesia</v>
      </c>
      <c r="AB63" s="165" t="str">
        <f>IFERROR(__xludf.DUMMYFUNCTION("""COMPUTED_VALUE"""),"Granted Hak Cipta 
 11 Desember 2023")</f>
        <v>Granted Hak Cipta 
 11 Desember 2023</v>
      </c>
      <c r="AC63" s="165" t="str">
        <f>IFERROR(__xludf.DUMMYFUNCTION("""COMPUTED_VALUE"""),"EC002023129180")</f>
        <v>EC002023129180</v>
      </c>
      <c r="AD63" s="165"/>
    </row>
    <row r="64" ht="15.75" customHeight="1">
      <c r="A64" s="227">
        <v>59.0</v>
      </c>
      <c r="B64" s="228" t="str">
        <f t="shared" si="2"/>
        <v/>
      </c>
      <c r="C64" s="310"/>
      <c r="D64" s="311"/>
      <c r="E64" s="259"/>
      <c r="F64" s="267"/>
      <c r="G64" s="267"/>
      <c r="H64" s="267"/>
      <c r="I64" s="267"/>
      <c r="J64" s="267"/>
      <c r="K64" s="267"/>
      <c r="L64" s="267"/>
      <c r="M64" s="267"/>
      <c r="N64" s="267"/>
      <c r="O64" s="259"/>
      <c r="P64" s="267"/>
      <c r="Q64" s="267"/>
      <c r="R64" s="267"/>
      <c r="S64" s="267"/>
      <c r="T64" s="267"/>
      <c r="U64" s="267"/>
      <c r="V64" s="37" t="s">
        <v>480</v>
      </c>
      <c r="W64" s="256"/>
      <c r="X64" s="232"/>
      <c r="Y64" s="309"/>
      <c r="AA64" s="165" t="str">
        <f>IFERROR(__xludf.DUMMYFUNCTION("""COMPUTED_VALUE"""),"Metode Penerjemahan Bahasa Isyarat Indonesia Berbasis Analisis Data Video")</f>
        <v>Metode Penerjemahan Bahasa Isyarat Indonesia Berbasis Analisis Data Video</v>
      </c>
      <c r="AB64" s="165" t="str">
        <f>IFERROR(__xludf.DUMMYFUNCTION("""COMPUTED_VALUE"""),"Tanggal Pendaftaran Paten 
 31 Juli 2023")</f>
        <v>Tanggal Pendaftaran Paten 
 31 Juli 2023</v>
      </c>
      <c r="AC64" s="165" t="str">
        <f>IFERROR(__xludf.DUMMYFUNCTION("""COMPUTED_VALUE"""),"P00202306955")</f>
        <v>P00202306955</v>
      </c>
      <c r="AD64" s="165"/>
    </row>
    <row r="65" ht="15.75" customHeight="1">
      <c r="A65" s="227">
        <v>60.0</v>
      </c>
      <c r="B65" s="228" t="str">
        <f t="shared" si="2"/>
        <v/>
      </c>
      <c r="C65" s="313"/>
      <c r="D65" s="314"/>
      <c r="E65" s="315"/>
      <c r="F65" s="316"/>
      <c r="G65" s="316"/>
      <c r="H65" s="316"/>
      <c r="I65" s="316"/>
      <c r="J65" s="316"/>
      <c r="K65" s="316"/>
      <c r="L65" s="316"/>
      <c r="M65" s="316"/>
      <c r="N65" s="316"/>
      <c r="O65" s="315"/>
      <c r="P65" s="316"/>
      <c r="Q65" s="316"/>
      <c r="R65" s="316"/>
      <c r="S65" s="316"/>
      <c r="T65" s="316"/>
      <c r="U65" s="316"/>
      <c r="V65" s="37" t="s">
        <v>480</v>
      </c>
      <c r="W65" s="317"/>
      <c r="X65" s="318"/>
      <c r="Y65" s="319"/>
      <c r="AA65" s="165" t="str">
        <f>IFERROR(__xludf.DUMMYFUNCTION("""COMPUTED_VALUE"""),"Smart Coffee Roaster - Aplikasi untuk mengontrol mesin kopi roaster")</f>
        <v>Smart Coffee Roaster - Aplikasi untuk mengontrol mesin kopi roaster</v>
      </c>
      <c r="AB65" s="165" t="str">
        <f>IFERROR(__xludf.DUMMYFUNCTION("""COMPUTED_VALUE"""),"Hak Cipta Tersertifikasi - 10 Januari 2023")</f>
        <v>Hak Cipta Tersertifikasi - 10 Januari 2023</v>
      </c>
      <c r="AC65" s="165" t="str">
        <f>IFERROR(__xludf.DUMMYFUNCTION("""COMPUTED_VALUE"""),"EC00202332241")</f>
        <v>EC00202332241</v>
      </c>
      <c r="AD65" s="165"/>
    </row>
    <row r="66" ht="15.75" customHeight="1">
      <c r="A66" s="227">
        <v>61.0</v>
      </c>
      <c r="B66" s="228" t="str">
        <f t="shared" si="2"/>
        <v/>
      </c>
      <c r="C66" s="313"/>
      <c r="D66" s="314"/>
      <c r="E66" s="315"/>
      <c r="F66" s="316"/>
      <c r="G66" s="316"/>
      <c r="H66" s="316"/>
      <c r="I66" s="316"/>
      <c r="J66" s="316"/>
      <c r="K66" s="316"/>
      <c r="L66" s="316"/>
      <c r="M66" s="316"/>
      <c r="N66" s="316"/>
      <c r="O66" s="315"/>
      <c r="P66" s="316"/>
      <c r="Q66" s="316"/>
      <c r="R66" s="316"/>
      <c r="S66" s="316"/>
      <c r="T66" s="316"/>
      <c r="U66" s="316"/>
      <c r="V66" s="37" t="s">
        <v>480</v>
      </c>
      <c r="W66" s="317"/>
      <c r="X66" s="318"/>
      <c r="Y66" s="319"/>
      <c r="AA66" s="165" t="str">
        <f>IFERROR(__xludf.DUMMYFUNCTION("""COMPUTED_VALUE"""),"Chatsicum")</f>
        <v>Chatsicum</v>
      </c>
      <c r="AB66" s="165" t="str">
        <f>IFERROR(__xludf.DUMMYFUNCTION("""COMPUTED_VALUE"""),"Pengusulan - 3 November 2023")</f>
        <v>Pengusulan - 3 November 2023</v>
      </c>
      <c r="AC66" s="165" t="str">
        <f>IFERROR(__xludf.DUMMYFUNCTION("""COMPUTED_VALUE"""),"EC002023134458")</f>
        <v>EC002023134458</v>
      </c>
      <c r="AD66" s="165"/>
    </row>
    <row r="67" ht="15.75" customHeight="1">
      <c r="A67" s="227">
        <v>62.0</v>
      </c>
      <c r="B67" s="228" t="str">
        <f t="shared" si="2"/>
        <v/>
      </c>
      <c r="C67" s="313"/>
      <c r="D67" s="314"/>
      <c r="E67" s="315"/>
      <c r="F67" s="316"/>
      <c r="G67" s="316"/>
      <c r="H67" s="316"/>
      <c r="I67" s="316"/>
      <c r="J67" s="316"/>
      <c r="K67" s="316"/>
      <c r="L67" s="316"/>
      <c r="M67" s="316"/>
      <c r="N67" s="316"/>
      <c r="O67" s="315"/>
      <c r="P67" s="316"/>
      <c r="Q67" s="316"/>
      <c r="R67" s="316"/>
      <c r="S67" s="316"/>
      <c r="T67" s="316"/>
      <c r="U67" s="316"/>
      <c r="V67" s="37" t="s">
        <v>480</v>
      </c>
      <c r="W67" s="317"/>
      <c r="X67" s="318"/>
      <c r="Y67" s="319"/>
      <c r="AA67" s="165" t="str">
        <f>IFERROR(__xludf.DUMMYFUNCTION("""COMPUTED_VALUE"""),"Perangkat Lunak Data Akuisisi Kecepatan Tinggi dan Kontrol Robot Synthetic Aperture Radar (SAR)")</f>
        <v>Perangkat Lunak Data Akuisisi Kecepatan Tinggi dan Kontrol Robot Synthetic Aperture Radar (SAR)</v>
      </c>
      <c r="AB67" s="165" t="str">
        <f>IFERROR(__xludf.DUMMYFUNCTION("""COMPUTED_VALUE"""),"Tersertifikasi 14 Desember 2023")</f>
        <v>Tersertifikasi 14 Desember 2023</v>
      </c>
      <c r="AC67" s="165" t="str">
        <f>IFERROR(__xludf.DUMMYFUNCTION("""COMPUTED_VALUE"""),"EC002023132259")</f>
        <v>EC002023132259</v>
      </c>
      <c r="AD67" s="165"/>
    </row>
    <row r="68" ht="15.75" customHeight="1">
      <c r="A68" s="227">
        <v>63.0</v>
      </c>
      <c r="B68" s="228" t="str">
        <f t="shared" si="2"/>
        <v/>
      </c>
      <c r="C68" s="320"/>
      <c r="D68" s="321"/>
      <c r="E68" s="305"/>
      <c r="F68" s="307"/>
      <c r="G68" s="307"/>
      <c r="H68" s="307"/>
      <c r="I68" s="307"/>
      <c r="J68" s="307"/>
      <c r="K68" s="307"/>
      <c r="L68" s="307"/>
      <c r="M68" s="307"/>
      <c r="N68" s="307"/>
      <c r="O68" s="305"/>
      <c r="P68" s="307"/>
      <c r="Q68" s="307"/>
      <c r="R68" s="307"/>
      <c r="S68" s="307"/>
      <c r="T68" s="307"/>
      <c r="U68" s="307"/>
      <c r="V68" s="37" t="s">
        <v>480</v>
      </c>
      <c r="W68" s="322"/>
      <c r="X68" s="323"/>
      <c r="Y68" s="324"/>
      <c r="AA68" s="165" t="str">
        <f>IFERROR(__xludf.DUMMYFUNCTION("""COMPUTED_VALUE"""),"Fish Occurence Records Indonesia (forlDN)")</f>
        <v>Fish Occurence Records Indonesia (forlDN)</v>
      </c>
      <c r="AB68" s="165" t="str">
        <f>IFERROR(__xludf.DUMMYFUNCTION("""COMPUTED_VALUE"""),"Tersertifikasi, 12 Desember 2023")</f>
        <v>Tersertifikasi, 12 Desember 2023</v>
      </c>
      <c r="AC68" s="165" t="str">
        <f>IFERROR(__xludf.DUMMYFUNCTION("""COMPUTED_VALUE"""),"EC002023112266")</f>
        <v>EC002023112266</v>
      </c>
      <c r="AD68" s="165"/>
    </row>
    <row r="69" ht="15.75" customHeight="1">
      <c r="A69" s="227">
        <v>64.0</v>
      </c>
      <c r="B69" s="228" t="str">
        <f t="shared" si="2"/>
        <v/>
      </c>
      <c r="C69" s="320"/>
      <c r="D69" s="321"/>
      <c r="E69" s="305"/>
      <c r="F69" s="307"/>
      <c r="G69" s="307"/>
      <c r="H69" s="307"/>
      <c r="I69" s="307"/>
      <c r="J69" s="307"/>
      <c r="K69" s="307"/>
      <c r="L69" s="307"/>
      <c r="M69" s="307"/>
      <c r="N69" s="307"/>
      <c r="O69" s="305"/>
      <c r="P69" s="307"/>
      <c r="Q69" s="307"/>
      <c r="R69" s="307"/>
      <c r="S69" s="307"/>
      <c r="T69" s="307"/>
      <c r="U69" s="307"/>
      <c r="V69" s="37" t="s">
        <v>480</v>
      </c>
      <c r="W69" s="322"/>
      <c r="X69" s="323"/>
      <c r="Y69" s="324"/>
      <c r="AA69" s="165" t="str">
        <f>IFERROR(__xludf.DUMMYFUNCTION("""COMPUTED_VALUE"""),"Fish Mobile (FiMo)")</f>
        <v>Fish Mobile (FiMo)</v>
      </c>
      <c r="AB69" s="165" t="str">
        <f>IFERROR(__xludf.DUMMYFUNCTION("""COMPUTED_VALUE"""),"Tersertifikasi, 13 Desember 2023")</f>
        <v>Tersertifikasi, 13 Desember 2023</v>
      </c>
      <c r="AC69" s="165" t="str">
        <f>IFERROR(__xludf.DUMMYFUNCTION("""COMPUTED_VALUE"""),"EC002023123724")</f>
        <v>EC002023123724</v>
      </c>
      <c r="AD69" s="165"/>
    </row>
    <row r="70" ht="15.75" customHeight="1">
      <c r="A70" s="227">
        <v>65.0</v>
      </c>
      <c r="B70" s="325" t="str">
        <f t="shared" si="2"/>
        <v/>
      </c>
      <c r="C70" s="326"/>
      <c r="D70" s="327"/>
      <c r="E70" s="328"/>
      <c r="F70" s="329"/>
      <c r="G70" s="329"/>
      <c r="H70" s="329"/>
      <c r="I70" s="329"/>
      <c r="J70" s="329"/>
      <c r="K70" s="329"/>
      <c r="L70" s="329"/>
      <c r="M70" s="329"/>
      <c r="N70" s="329"/>
      <c r="O70" s="328"/>
      <c r="P70" s="329"/>
      <c r="Q70" s="329"/>
      <c r="R70" s="329"/>
      <c r="S70" s="329"/>
      <c r="T70" s="329"/>
      <c r="U70" s="329"/>
      <c r="V70" s="37" t="s">
        <v>480</v>
      </c>
      <c r="W70" s="330"/>
      <c r="X70" s="331"/>
      <c r="Y70" s="332"/>
      <c r="AA70" s="165" t="str">
        <f>IFERROR(__xludf.DUMMYFUNCTION("""COMPUTED_VALUE"""),"Discharge evaluation")</f>
        <v>Discharge evaluation</v>
      </c>
      <c r="AB70" s="165" t="str">
        <f>IFERROR(__xludf.DUMMYFUNCTION("""COMPUTED_VALUE"""),"Tersertifikasi 13 Desember 2023")</f>
        <v>Tersertifikasi 13 Desember 2023</v>
      </c>
      <c r="AC70" s="165" t="str">
        <f>IFERROR(__xludf.DUMMYFUNCTION("""COMPUTED_VALUE"""),"EC002023131554")</f>
        <v>EC002023131554</v>
      </c>
      <c r="AD70" s="165"/>
    </row>
    <row r="71" ht="15.75" customHeight="1">
      <c r="X71" s="217"/>
      <c r="AA71" s="165" t="str">
        <f>IFERROR(__xludf.DUMMYFUNCTION("""COMPUTED_VALUE"""),"Multi Account Table Top Exercise For Responders")</f>
        <v>Multi Account Table Top Exercise For Responders</v>
      </c>
      <c r="AB71" s="165" t="str">
        <f>IFERROR(__xludf.DUMMYFUNCTION("""COMPUTED_VALUE"""),"Tersertifikasi 13 Desember 2023")</f>
        <v>Tersertifikasi 13 Desember 2023</v>
      </c>
      <c r="AC71" s="165" t="str">
        <f>IFERROR(__xludf.DUMMYFUNCTION("""COMPUTED_VALUE"""),"EC002023131558")</f>
        <v>EC002023131558</v>
      </c>
      <c r="AD71" s="165"/>
    </row>
    <row r="72" ht="15.75" customHeight="1">
      <c r="X72" s="217"/>
      <c r="AA72" s="165" t="str">
        <f>IFERROR(__xludf.DUMMYFUNCTION("""COMPUTED_VALUE"""),"Alat Pendeteksi Kualitas Buah Dan Sayuran Berbasis Kamera")</f>
        <v>Alat Pendeteksi Kualitas Buah Dan Sayuran Berbasis Kamera</v>
      </c>
      <c r="AB72" s="165" t="str">
        <f>IFERROR(__xludf.DUMMYFUNCTION("""COMPUTED_VALUE"""),"Tanggal Pendaftaran Paten
 16 November 2023")</f>
        <v>Tanggal Pendaftaran Paten
 16 November 2023</v>
      </c>
      <c r="AC72" s="165" t="str">
        <f>IFERROR(__xludf.DUMMYFUNCTION("""COMPUTED_VALUE"""),"P00202312306")</f>
        <v>P00202312306</v>
      </c>
      <c r="AD72" s="165"/>
    </row>
    <row r="73" ht="15.75" customHeight="1">
      <c r="X73" s="217"/>
      <c r="AA73" s="165" t="str">
        <f>IFERROR(__xludf.DUMMYFUNCTION("""COMPUTED_VALUE"""),"Metode Penyimpanan Data Spektroskopi Untuk Mesin Pembelajaran")</f>
        <v>Metode Penyimpanan Data Spektroskopi Untuk Mesin Pembelajaran</v>
      </c>
      <c r="AB73" s="165" t="str">
        <f>IFERROR(__xludf.DUMMYFUNCTION("""COMPUTED_VALUE"""),"Terdaftar")</f>
        <v>Terdaftar</v>
      </c>
      <c r="AC73" s="165" t="str">
        <f>IFERROR(__xludf.DUMMYFUNCTION("""COMPUTED_VALUE"""),"P00202315078")</f>
        <v>P00202315078</v>
      </c>
      <c r="AD73" s="165"/>
    </row>
    <row r="74" ht="15.75" customHeight="1">
      <c r="X74" s="217"/>
      <c r="AA74" s="165" t="str">
        <f>IFERROR(__xludf.DUMMYFUNCTION("""COMPUTED_VALUE"""),"Sistem Pengenalan Wicara Otomatis Untuk Pendiktean Medis Bahasa Indonesia Di Lingkungan Komputasi Awan")</f>
        <v>Sistem Pengenalan Wicara Otomatis Untuk Pendiktean Medis Bahasa Indonesia Di Lingkungan Komputasi Awan</v>
      </c>
      <c r="AB74" s="165" t="str">
        <f>IFERROR(__xludf.DUMMYFUNCTION("""COMPUTED_VALUE"""),"Terdaftar")</f>
        <v>Terdaftar</v>
      </c>
      <c r="AC74" s="165" t="str">
        <f>IFERROR(__xludf.DUMMYFUNCTION("""COMPUTED_VALUE"""),"P00202315112")</f>
        <v>P00202315112</v>
      </c>
      <c r="AD74" s="165"/>
    </row>
    <row r="75" ht="15.75" customHeight="1">
      <c r="X75" s="217"/>
      <c r="AA75" s="165" t="str">
        <f>IFERROR(__xludf.DUMMYFUNCTION("""COMPUTED_VALUE"""),"Dashboard Power Monitoring InaCBT V1")</f>
        <v>Dashboard Power Monitoring InaCBT V1</v>
      </c>
      <c r="AB75" s="165" t="str">
        <f>IFERROR(__xludf.DUMMYFUNCTION("""COMPUTED_VALUE"""),"Tersertifikasi")</f>
        <v>Tersertifikasi</v>
      </c>
      <c r="AC75" s="165" t="str">
        <f>IFERROR(__xludf.DUMMYFUNCTION("""COMPUTED_VALUE"""),"000497675")</f>
        <v>000497675</v>
      </c>
      <c r="AD75" s="165"/>
    </row>
    <row r="76" ht="15.75" customHeight="1">
      <c r="X76" s="217"/>
      <c r="AA76" s="165" t="str">
        <f>IFERROR(__xludf.DUMMYFUNCTION("""COMPUTED_VALUE"""),"Delay Packet Tester")</f>
        <v>Delay Packet Tester</v>
      </c>
      <c r="AB76" s="165" t="str">
        <f>IFERROR(__xludf.DUMMYFUNCTION("""COMPUTED_VALUE"""),"Tersertifikasi")</f>
        <v>Tersertifikasi</v>
      </c>
      <c r="AC76" s="165" t="str">
        <f>IFERROR(__xludf.DUMMYFUNCTION("""COMPUTED_VALUE"""),"000507351")</f>
        <v>000507351</v>
      </c>
      <c r="AD76" s="165"/>
    </row>
    <row r="77" ht="15.75" customHeight="1">
      <c r="X77" s="217"/>
      <c r="AA77" s="165" t="str">
        <f>IFERROR(__xludf.DUMMYFUNCTION("""COMPUTED_VALUE"""),"RedinaCBT")</f>
        <v>RedinaCBT</v>
      </c>
      <c r="AB77" s="165" t="str">
        <f>IFERROR(__xludf.DUMMYFUNCTION("""COMPUTED_VALUE"""),"Tersertifikasi")</f>
        <v>Tersertifikasi</v>
      </c>
      <c r="AC77" s="165" t="str">
        <f>IFERROR(__xludf.DUMMYFUNCTION("""COMPUTED_VALUE"""),"000524356")</f>
        <v>000524356</v>
      </c>
      <c r="AD77" s="165"/>
    </row>
    <row r="78" ht="15.75" customHeight="1">
      <c r="X78" s="217"/>
      <c r="AA78" s="165" t="str">
        <f>IFERROR(__xludf.DUMMYFUNCTION("""COMPUTED_VALUE"""),"ADAPTER PROTOKOL KOMUNIKASI SISTEM MANAJEMEN BATERAI KENDARAAN LISTRIK RODA DUA")</f>
        <v>ADAPTER PROTOKOL KOMUNIKASI SISTEM MANAJEMEN BATERAI KENDARAAN LISTRIK RODA DUA</v>
      </c>
      <c r="AB78" s="165" t="str">
        <f>IFERROR(__xludf.DUMMYFUNCTION("""COMPUTED_VALUE"""),"Terdaftar")</f>
        <v>Terdaftar</v>
      </c>
      <c r="AC78" s="165" t="str">
        <f>IFERROR(__xludf.DUMMYFUNCTION("""COMPUTED_VALUE"""),"P00202311483")</f>
        <v>P00202311483</v>
      </c>
      <c r="AD78" s="165"/>
    </row>
    <row r="79" ht="15.75" customHeight="1">
      <c r="X79" s="217"/>
      <c r="AA79" s="165" t="str">
        <f>IFERROR(__xludf.DUMMYFUNCTION("""COMPUTED_VALUE"""),"ALAT DAN METODE PENGEREMAN OTOMATIS PADA KENDARAAN LISTRIK BERBASIS MIKROKONTROLER DAN LIDAR 3D")</f>
        <v>ALAT DAN METODE PENGEREMAN OTOMATIS PADA KENDARAAN LISTRIK BERBASIS MIKROKONTROLER DAN LIDAR 3D</v>
      </c>
      <c r="AB79" s="165" t="str">
        <f>IFERROR(__xludf.DUMMYFUNCTION("""COMPUTED_VALUE"""),"Terdaftar")</f>
        <v>Terdaftar</v>
      </c>
      <c r="AC79" s="165" t="str">
        <f>IFERROR(__xludf.DUMMYFUNCTION("""COMPUTED_VALUE"""),"P00202215503")</f>
        <v>P00202215503</v>
      </c>
      <c r="AD79" s="165"/>
    </row>
    <row r="80" ht="15.75" customHeight="1">
      <c r="X80" s="217"/>
      <c r="AA80" s="165" t="str">
        <f>IFERROR(__xludf.DUMMYFUNCTION("""COMPUTED_VALUE"""),"ALAT UKUR KADAR ALKOHOL DAN PENDETEKSI ZAT ADITIF PADA MAKANAN SECARA DIGITAL")</f>
        <v>ALAT UKUR KADAR ALKOHOL DAN PENDETEKSI ZAT ADITIF PADA MAKANAN SECARA DIGITAL</v>
      </c>
      <c r="AB80" s="165" t="str">
        <f>IFERROR(__xludf.DUMMYFUNCTION("""COMPUTED_VALUE"""),"Terdaftar")</f>
        <v>Terdaftar</v>
      </c>
      <c r="AC80" s="165" t="str">
        <f>IFERROR(__xludf.DUMMYFUNCTION("""COMPUTED_VALUE"""),"P00202311478")</f>
        <v>P00202311478</v>
      </c>
      <c r="AD80" s="165"/>
    </row>
    <row r="81" ht="15.75" customHeight="1">
      <c r="X81" s="217"/>
      <c r="AA81" s="165" t="str">
        <f>IFERROR(__xludf.DUMMYFUNCTION("""COMPUTED_VALUE"""),"BIOREAKTOR SEL BAHAN BAKAR MIKROBA DENGAN ELEKTRODA TRANSPARAN")</f>
        <v>BIOREAKTOR SEL BAHAN BAKAR MIKROBA DENGAN ELEKTRODA TRANSPARAN</v>
      </c>
      <c r="AB81" s="165" t="str">
        <f>IFERROR(__xludf.DUMMYFUNCTION("""COMPUTED_VALUE"""),"Terdaftar")</f>
        <v>Terdaftar</v>
      </c>
      <c r="AC81" s="165" t="str">
        <f>IFERROR(__xludf.DUMMYFUNCTION("""COMPUTED_VALUE"""),"P00202309710")</f>
        <v>P00202309710</v>
      </c>
      <c r="AD81" s="165"/>
    </row>
    <row r="82" ht="15.75" customHeight="1">
      <c r="X82" s="217"/>
      <c r="AA82" s="165" t="str">
        <f>IFERROR(__xludf.DUMMYFUNCTION("""COMPUTED_VALUE"""),"METODE DAN SISTEM KENDALI KEMUDI OTOMATIS MENGGUNAKAN SEGMENTASI GAMBAR TERMAL DAN MIKROKONTROLER")</f>
        <v>METODE DAN SISTEM KENDALI KEMUDI OTOMATIS MENGGUNAKAN SEGMENTASI GAMBAR TERMAL DAN MIKROKONTROLER</v>
      </c>
      <c r="AB82" s="165" t="str">
        <f>IFERROR(__xludf.DUMMYFUNCTION("""COMPUTED_VALUE"""),"Terdaftar")</f>
        <v>Terdaftar</v>
      </c>
      <c r="AC82" s="165" t="str">
        <f>IFERROR(__xludf.DUMMYFUNCTION("""COMPUTED_VALUE"""),"P00202311388")</f>
        <v>P00202311388</v>
      </c>
      <c r="AD82" s="165"/>
    </row>
    <row r="83" ht="15.75" customHeight="1">
      <c r="X83" s="217"/>
      <c r="AA83" s="165" t="str">
        <f>IFERROR(__xludf.DUMMYFUNCTION("""COMPUTED_VALUE"""),"Metode Pembuatan Material Penyerap Gelombang Mikro Dari Material Karbon Aktif Tandan Kosong Kelapa Sawit")</f>
        <v>Metode Pembuatan Material Penyerap Gelombang Mikro Dari Material Karbon Aktif Tandan Kosong Kelapa Sawit</v>
      </c>
      <c r="AB83" s="165" t="str">
        <f>IFERROR(__xludf.DUMMYFUNCTION("""COMPUTED_VALUE"""),"Terdaftar")</f>
        <v>Terdaftar</v>
      </c>
      <c r="AC83" s="165" t="str">
        <f>IFERROR(__xludf.DUMMYFUNCTION("""COMPUTED_VALUE"""),"P00202311465")</f>
        <v>P00202311465</v>
      </c>
      <c r="AD83" s="165"/>
    </row>
    <row r="84" ht="15.75" customHeight="1">
      <c r="X84" s="217"/>
      <c r="AA84" s="165" t="str">
        <f>IFERROR(__xludf.DUMMYFUNCTION("""COMPUTED_VALUE"""),"METODE PENDETEKSI DAN REKONSTRUKSI OBJEK BERBASIS LIDAR DUA DIMENSI DENGAN BERBANTUKAN 7 VARIASI TEKNIK PEREDUKSI DERAU")</f>
        <v>METODE PENDETEKSI DAN REKONSTRUKSI OBJEK BERBASIS LIDAR DUA DIMENSI DENGAN BERBANTUKAN 7 VARIASI TEKNIK PEREDUKSI DERAU</v>
      </c>
      <c r="AB84" s="165" t="str">
        <f>IFERROR(__xludf.DUMMYFUNCTION("""COMPUTED_VALUE"""),"Terdaftar")</f>
        <v>Terdaftar</v>
      </c>
      <c r="AC84" s="165" t="str">
        <f>IFERROR(__xludf.DUMMYFUNCTION("""COMPUTED_VALUE"""),"P00202215521")</f>
        <v>P00202215521</v>
      </c>
      <c r="AD84" s="165"/>
    </row>
    <row r="85" ht="15.75" customHeight="1">
      <c r="X85" s="217"/>
      <c r="AA85" s="165" t="str">
        <f>IFERROR(__xludf.DUMMYFUNCTION("""COMPUTED_VALUE"""),"PROSES PEMBUATAN HIDROLISAT PROTEIN IKAN SECARA ENZIMATIS MENGGUNAKAN REAKTOR 15 L SEMI OTOMATIS")</f>
        <v>PROSES PEMBUATAN HIDROLISAT PROTEIN IKAN SECARA ENZIMATIS MENGGUNAKAN REAKTOR 15 L SEMI OTOMATIS</v>
      </c>
      <c r="AB85" s="165" t="str">
        <f>IFERROR(__xludf.DUMMYFUNCTION("""COMPUTED_VALUE"""),"Terdaftar")</f>
        <v>Terdaftar</v>
      </c>
      <c r="AC85" s="165" t="str">
        <f>IFERROR(__xludf.DUMMYFUNCTION("""COMPUTED_VALUE"""),"P00202215415")</f>
        <v>P00202215415</v>
      </c>
      <c r="AD85" s="165"/>
    </row>
    <row r="86" ht="15.75" customHeight="1">
      <c r="X86" s="217"/>
      <c r="AA86" s="165" t="str">
        <f>IFERROR(__xludf.DUMMYFUNCTION("""COMPUTED_VALUE"""),"SISTEM ANTENA PARABOLA OFFSET-FED DENGAN TWISTABLE FLEXIBLE WAVEGUIDE DAN ADAPTER UNTUK RADAR HUJAN")</f>
        <v>SISTEM ANTENA PARABOLA OFFSET-FED DENGAN TWISTABLE FLEXIBLE WAVEGUIDE DAN ADAPTER UNTUK RADAR HUJAN</v>
      </c>
      <c r="AB86" s="165" t="str">
        <f>IFERROR(__xludf.DUMMYFUNCTION("""COMPUTED_VALUE"""),"terdaftar")</f>
        <v>terdaftar</v>
      </c>
      <c r="AC86" s="165" t="str">
        <f>IFERROR(__xludf.DUMMYFUNCTION("""COMPUTED_VALUE"""),"P00202215607")</f>
        <v>P00202215607</v>
      </c>
      <c r="AD86" s="165"/>
    </row>
    <row r="87" ht="15.75" customHeight="1">
      <c r="X87" s="217"/>
      <c r="AA87" s="165" t="str">
        <f>IFERROR(__xludf.DUMMYFUNCTION("""COMPUTED_VALUE"""),"SISTEM DAN METODE MANUVER OTOMATIS PADA KENDARAAN LISTRIK RODA TIGA BERBASIS MIKROKONTROLER DAN LiDAR 3D")</f>
        <v>SISTEM DAN METODE MANUVER OTOMATIS PADA KENDARAAN LISTRIK RODA TIGA BERBASIS MIKROKONTROLER DAN LiDAR 3D</v>
      </c>
      <c r="AB87" s="165" t="str">
        <f>IFERROR(__xludf.DUMMYFUNCTION("""COMPUTED_VALUE"""),"Terdaftar")</f>
        <v>Terdaftar</v>
      </c>
      <c r="AC87" s="165" t="str">
        <f>IFERROR(__xludf.DUMMYFUNCTION("""COMPUTED_VALUE"""),"P00202311409")</f>
        <v>P00202311409</v>
      </c>
      <c r="AD87" s="165"/>
    </row>
    <row r="88" ht="15.75" customHeight="1">
      <c r="X88" s="217"/>
      <c r="AA88" s="165" t="str">
        <f>IFERROR(__xludf.DUMMYFUNCTION("""COMPUTED_VALUE"""),"Sistem Monitoring InaCBT")</f>
        <v>Sistem Monitoring InaCBT</v>
      </c>
      <c r="AB88" s="165" t="str">
        <f>IFERROR(__xludf.DUMMYFUNCTION("""COMPUTED_VALUE"""),"Terdaftar")</f>
        <v>Terdaftar</v>
      </c>
      <c r="AC88" s="165" t="str">
        <f>IFERROR(__xludf.DUMMYFUNCTION("""COMPUTED_VALUE"""),"EC00202338289")</f>
        <v>EC00202338289</v>
      </c>
      <c r="AD88" s="165"/>
    </row>
    <row r="89" ht="15.75" customHeight="1">
      <c r="X89" s="217"/>
      <c r="AA89" s="165" t="str">
        <f>IFERROR(__xludf.DUMMYFUNCTION("""COMPUTED_VALUE"""),"SISTEM PENGUJIAN INKUBATOR BAYI UNTUK PENGUKURAN KONDISI LINGKUNGAN KOMPARTEMEN")</f>
        <v>SISTEM PENGUJIAN INKUBATOR BAYI UNTUK PENGUKURAN KONDISI LINGKUNGAN KOMPARTEMEN</v>
      </c>
      <c r="AB89" s="165" t="str">
        <f>IFERROR(__xludf.DUMMYFUNCTION("""COMPUTED_VALUE"""),"Terdaftar")</f>
        <v>Terdaftar</v>
      </c>
      <c r="AC89" s="165" t="str">
        <f>IFERROR(__xludf.DUMMYFUNCTION("""COMPUTED_VALUE"""),"P00202311350")</f>
        <v>P00202311350</v>
      </c>
      <c r="AD89" s="165"/>
    </row>
    <row r="90" ht="15.75" customHeight="1">
      <c r="X90" s="217"/>
      <c r="AA90" s="165" t="str">
        <f>IFERROR(__xludf.DUMMYFUNCTION("""COMPUTED_VALUE"""),"SISTEM SENSOR LAUT DALAM BERBASIS KABEL BAWAH LAUT YANG TERHUBUNG
 DENGAN SATU STASIUN DARAT")</f>
        <v>SISTEM SENSOR LAUT DALAM BERBASIS KABEL BAWAH LAUT YANG TERHUBUNG
 DENGAN SATU STASIUN DARAT</v>
      </c>
      <c r="AB90" s="165" t="str">
        <f>IFERROR(__xludf.DUMMYFUNCTION("""COMPUTED_VALUE"""),"Terdaftar")</f>
        <v>Terdaftar</v>
      </c>
      <c r="AC90" s="165" t="str">
        <f>IFERROR(__xludf.DUMMYFUNCTION("""COMPUTED_VALUE"""),"P00202311537")</f>
        <v>P00202311537</v>
      </c>
      <c r="AD90" s="165"/>
    </row>
    <row r="91" ht="15.75" customHeight="1">
      <c r="X91" s="217"/>
      <c r="AA91" s="165" t="str">
        <f>IFERROR(__xludf.DUMMYFUNCTION("""COMPUTED_VALUE"""),"Sistem, Perangkat Akuisisi Data Telemedis, dan Metode untuk Layanan Telemedis Terpadu")</f>
        <v>Sistem, Perangkat Akuisisi Data Telemedis, dan Metode untuk Layanan Telemedis Terpadu</v>
      </c>
      <c r="AB91" s="165" t="str">
        <f>IFERROR(__xludf.DUMMYFUNCTION("""COMPUTED_VALUE"""),"Terdaftar")</f>
        <v>Terdaftar</v>
      </c>
      <c r="AC91" s="165" t="str">
        <f>IFERROR(__xludf.DUMMYFUNCTION("""COMPUTED_VALUE"""),"P00202215700")</f>
        <v>P00202215700</v>
      </c>
      <c r="AD91" s="165"/>
    </row>
    <row r="92" ht="15.75" customHeight="1">
      <c r="X92" s="217"/>
      <c r="AA92" s="165" t="str">
        <f>IFERROR(__xludf.DUMMYFUNCTION("""COMPUTED_VALUE"""),"Aplikasi Android Untuk Single-passenger Electric Autonomous TransportER (SEATER)")</f>
        <v>Aplikasi Android Untuk Single-passenger Electric Autonomous TransportER (SEATER)</v>
      </c>
      <c r="AB92" s="165" t="str">
        <f>IFERROR(__xludf.DUMMYFUNCTION("""COMPUTED_VALUE"""),"Tersertifikasi")</f>
        <v>Tersertifikasi</v>
      </c>
      <c r="AC92" s="165" t="str">
        <f>IFERROR(__xludf.DUMMYFUNCTION("""COMPUTED_VALUE"""),"EC002023112259")</f>
        <v>EC002023112259</v>
      </c>
      <c r="AD92" s="165"/>
    </row>
    <row r="93" ht="15.75" customHeight="1">
      <c r="X93" s="217"/>
      <c r="AA93" s="165" t="str">
        <f>IFERROR(__xludf.DUMMYFUNCTION("""COMPUTED_VALUE"""),"APLIKASI SISTEM MONITORING KINERJA BUOY PENDETEKSI TSUNAMI InaCAT - ToOnX")</f>
        <v>APLIKASI SISTEM MONITORING KINERJA BUOY PENDETEKSI TSUNAMI InaCAT - ToOnX</v>
      </c>
      <c r="AB93" s="165" t="str">
        <f>IFERROR(__xludf.DUMMYFUNCTION("""COMPUTED_VALUE"""),"Tersertifikasi")</f>
        <v>Tersertifikasi</v>
      </c>
      <c r="AC93" s="165" t="str">
        <f>IFERROR(__xludf.DUMMYFUNCTION("""COMPUTED_VALUE"""),"EC00202320666")</f>
        <v>EC00202320666</v>
      </c>
      <c r="AD93" s="165"/>
    </row>
    <row r="94" ht="15.75" customHeight="1">
      <c r="X94" s="217"/>
      <c r="AA94" s="165" t="str">
        <f>IFERROR(__xludf.DUMMYFUNCTION("""COMPUTED_VALUE"""),"BALADEVA: BRIN's Lake Model Visualizer")</f>
        <v>BALADEVA: BRIN's Lake Model Visualizer</v>
      </c>
      <c r="AB94" s="165" t="str">
        <f>IFERROR(__xludf.DUMMYFUNCTION("""COMPUTED_VALUE"""),"tersertifikasi")</f>
        <v>tersertifikasi</v>
      </c>
      <c r="AC94" s="165" t="str">
        <f>IFERROR(__xludf.DUMMYFUNCTION("""COMPUTED_VALUE"""),"000535518")</f>
        <v>000535518</v>
      </c>
      <c r="AD94" s="165"/>
    </row>
    <row r="95" ht="15.75" customHeight="1">
      <c r="X95" s="217"/>
      <c r="AA95" s="165" t="str">
        <f>IFERROR(__xludf.DUMMYFUNCTION("""COMPUTED_VALUE"""),"SAVITRI: Simulation tool for visualizing Interactively")</f>
        <v>SAVITRI: Simulation tool for visualizing Interactively</v>
      </c>
      <c r="AB95" s="165" t="str">
        <f>IFERROR(__xludf.DUMMYFUNCTION("""COMPUTED_VALUE"""),"tersertifikasi")</f>
        <v>tersertifikasi</v>
      </c>
      <c r="AC95" s="165" t="str">
        <f>IFERROR(__xludf.DUMMYFUNCTION("""COMPUTED_VALUE"""),"000497681")</f>
        <v>000497681</v>
      </c>
      <c r="AD95" s="165"/>
    </row>
    <row r="96" ht="15.75" customHeight="1">
      <c r="X96" s="217"/>
      <c r="AA96" s="165" t="str">
        <f>IFERROR(__xludf.DUMMYFUNCTION("""COMPUTED_VALUE"""),"Sistem Monitoring InaCBT")</f>
        <v>Sistem Monitoring InaCBT</v>
      </c>
      <c r="AB96" s="165" t="str">
        <f>IFERROR(__xludf.DUMMYFUNCTION("""COMPUTED_VALUE"""),"tersertifikasi")</f>
        <v>tersertifikasi</v>
      </c>
      <c r="AC96" s="165" t="str">
        <f>IFERROR(__xludf.DUMMYFUNCTION("""COMPUTED_VALUE"""),"000471210")</f>
        <v>000471210</v>
      </c>
      <c r="AD96" s="165"/>
    </row>
    <row r="97" ht="15.75" customHeight="1">
      <c r="X97" s="217"/>
      <c r="AA97" s="165" t="str">
        <f>IFERROR(__xludf.DUMMYFUNCTION("""COMPUTED_VALUE"""),"Take-Off Performance Estimation Tools For Propeller Aircraft")</f>
        <v>Take-Off Performance Estimation Tools For Propeller Aircraft</v>
      </c>
      <c r="AB97" s="165" t="str">
        <f>IFERROR(__xludf.DUMMYFUNCTION("""COMPUTED_VALUE"""),"tersertifikasi")</f>
        <v>tersertifikasi</v>
      </c>
      <c r="AC97" s="165" t="str">
        <f>IFERROR(__xludf.DUMMYFUNCTION("""COMPUTED_VALUE"""),"tersertifikasi")</f>
        <v>tersertifikasi</v>
      </c>
      <c r="AD97" s="165"/>
    </row>
    <row r="98" ht="15.75" customHeight="1">
      <c r="X98" s="217"/>
      <c r="AA98" s="165" t="str">
        <f>IFERROR(__xludf.DUMMYFUNCTION("""COMPUTED_VALUE"""),"KIT UNTUK MENGANALISIS GENOM UTUH HUMAN PAPILLOMAVIRUS (HPV) TIPE 16")</f>
        <v>KIT UNTUK MENGANALISIS GENOM UTUH HUMAN PAPILLOMAVIRUS (HPV) TIPE 16</v>
      </c>
      <c r="AB98" s="165" t="str">
        <f>IFERROR(__xludf.DUMMYFUNCTION("""COMPUTED_VALUE"""),"Published")</f>
        <v>Published</v>
      </c>
      <c r="AC98" s="165" t="str">
        <f>IFERROR(__xludf.DUMMYFUNCTION("""COMPUTED_VALUE"""),"P00202311458")</f>
        <v>P00202311458</v>
      </c>
      <c r="AD98" s="165"/>
    </row>
    <row r="99" ht="15.75" customHeight="1">
      <c r="X99" s="217"/>
      <c r="AA99" s="165" t="str">
        <f>IFERROR(__xludf.DUMMYFUNCTION("""COMPUTED_VALUE"""),"MataApi: Model automata seluler untuk simulasi penyebaran api")</f>
        <v>MataApi: Model automata seluler untuk simulasi penyebaran api</v>
      </c>
      <c r="AB99" s="165" t="str">
        <f>IFERROR(__xludf.DUMMYFUNCTION("""COMPUTED_VALUE"""),"Published")</f>
        <v>Published</v>
      </c>
      <c r="AC99" s="165" t="str">
        <f>IFERROR(__xludf.DUMMYFUNCTION("""COMPUTED_VALUE"""),"EC00202391400")</f>
        <v>EC00202391400</v>
      </c>
      <c r="AD99" s="165"/>
    </row>
    <row r="100" ht="15.75" customHeight="1">
      <c r="X100" s="217"/>
      <c r="AA100" s="165" t="str">
        <f>IFERROR(__xludf.DUMMYFUNCTION("""COMPUTED_VALUE"""),"SaLFIA: Semi-Automatic Live Feeds Image Annotation")</f>
        <v>SaLFIA: Semi-Automatic Live Feeds Image Annotation</v>
      </c>
      <c r="AB100" s="165" t="str">
        <f>IFERROR(__xludf.DUMMYFUNCTION("""COMPUTED_VALUE"""),"Published")</f>
        <v>Published</v>
      </c>
      <c r="AC100" s="165" t="str">
        <f>IFERROR(__xludf.DUMMYFUNCTION("""COMPUTED_VALUE"""),"EC00202374397")</f>
        <v>EC00202374397</v>
      </c>
      <c r="AD100" s="165"/>
    </row>
    <row r="101" ht="15.75" customHeight="1">
      <c r="X101" s="217"/>
      <c r="AA101" s="165" t="str">
        <f>IFERROR(__xludf.DUMMYFUNCTION("""COMPUTED_VALUE"""),"Viirs Converter Plus")</f>
        <v>Viirs Converter Plus</v>
      </c>
      <c r="AB101" s="165" t="str">
        <f>IFERROR(__xludf.DUMMYFUNCTION("""COMPUTED_VALUE"""),"Published")</f>
        <v>Published</v>
      </c>
      <c r="AC101" s="165" t="str">
        <f>IFERROR(__xludf.DUMMYFUNCTION("""COMPUTED_VALUE"""),"EC002023102559")</f>
        <v>EC002023102559</v>
      </c>
      <c r="AD101" s="165"/>
    </row>
    <row r="102" ht="15.75" customHeight="1">
      <c r="X102" s="217"/>
      <c r="AA102" s="165" t="str">
        <f>IFERROR(__xludf.DUMMYFUNCTION("""COMPUTED_VALUE"""),"SAMBUNGAN SAYAP KE BODI PESAWAT UDARA TANPA AWAK DENGAN PIN BERBENTUK PROFIL-I")</f>
        <v>SAMBUNGAN SAYAP KE BODI PESAWAT UDARA TANPA AWAK DENGAN PIN BERBENTUK PROFIL-I</v>
      </c>
      <c r="AB102" s="165" t="str">
        <f>IFERROR(__xludf.DUMMYFUNCTION("""COMPUTED_VALUE"""),"terdaftar")</f>
        <v>terdaftar</v>
      </c>
      <c r="AC102" s="165" t="str">
        <f>IFERROR(__xludf.DUMMYFUNCTION("""COMPUTED_VALUE"""),"P00202215741")</f>
        <v>P00202215741</v>
      </c>
      <c r="AD102" s="165"/>
    </row>
    <row r="103" ht="15.75" customHeight="1">
      <c r="X103" s="217"/>
      <c r="AA103" s="165" t="str">
        <f>IFERROR(__xludf.DUMMYFUNCTION("""COMPUTED_VALUE"""),"SHOCK ABSORBER LANDING GEAR DENGAN KONFIGURASI OIL &amp; GAS UNTUK PESAWAT UDARA NIR AWAK")</f>
        <v>SHOCK ABSORBER LANDING GEAR DENGAN KONFIGURASI OIL &amp; GAS UNTUK PESAWAT UDARA NIR AWAK</v>
      </c>
      <c r="AB103" s="165" t="str">
        <f>IFERROR(__xludf.DUMMYFUNCTION("""COMPUTED_VALUE"""),"terdaftar")</f>
        <v>terdaftar</v>
      </c>
      <c r="AC103" s="165" t="str">
        <f>IFERROR(__xludf.DUMMYFUNCTION("""COMPUTED_VALUE"""),"S00202215783")</f>
        <v>S00202215783</v>
      </c>
      <c r="AD103" s="165"/>
    </row>
    <row r="104" ht="15.75" customHeight="1">
      <c r="X104" s="217"/>
      <c r="AA104" s="165" t="str">
        <f>IFERROR(__xludf.DUMMYFUNCTION("""COMPUTED_VALUE"""),"METODE UNTUK MENGUKUR INDEKS KUALITAS AIR SECARA OTOMATIS")</f>
        <v>METODE UNTUK MENGUKUR INDEKS KUALITAS AIR SECARA OTOMATIS</v>
      </c>
      <c r="AB104" s="165" t="str">
        <f>IFERROR(__xludf.DUMMYFUNCTION("""COMPUTED_VALUE"""),"terdaftar")</f>
        <v>terdaftar</v>
      </c>
      <c r="AC104" s="165" t="str">
        <f>IFERROR(__xludf.DUMMYFUNCTION("""COMPUTED_VALUE"""),"P00202311518")</f>
        <v>P00202311518</v>
      </c>
      <c r="AD104" s="165"/>
    </row>
    <row r="105" ht="15.75" customHeight="1">
      <c r="X105" s="217"/>
      <c r="AA105" s="165" t="str">
        <f>IFERROR(__xludf.DUMMYFUNCTION("""COMPUTED_VALUE"""),"Batimetri resolusi tinggi perairan Anyer")</f>
        <v>Batimetri resolusi tinggi perairan Anyer</v>
      </c>
      <c r="AB105" s="165" t="str">
        <f>IFERROR(__xludf.DUMMYFUNCTION("""COMPUTED_VALUE"""),"Published")</f>
        <v>Published</v>
      </c>
      <c r="AC105" s="165" t="str">
        <f>IFERROR(__xludf.DUMMYFUNCTION("""COMPUTED_VALUE"""),"000556671")</f>
        <v>000556671</v>
      </c>
      <c r="AD105" s="165"/>
    </row>
    <row r="106" ht="15.75" customHeight="1">
      <c r="X106" s="217"/>
      <c r="AA106" s="165" t="str">
        <f>IFERROR(__xludf.DUMMYFUNCTION("""COMPUTED_VALUE"""),"INNAlysis: Platform Analysis Data Sekuen Pada Indonesia Nucleotide Archive (INNA) Versi 1.0")</f>
        <v>INNAlysis: Platform Analysis Data Sekuen Pada Indonesia Nucleotide Archive (INNA) Versi 1.0</v>
      </c>
      <c r="AB106" s="165" t="str">
        <f>IFERROR(__xludf.DUMMYFUNCTION("""COMPUTED_VALUE"""),"Published")</f>
        <v>Published</v>
      </c>
      <c r="AC106" s="165" t="str">
        <f>IFERROR(__xludf.DUMMYFUNCTION("""COMPUTED_VALUE"""),"000564514")</f>
        <v>000564514</v>
      </c>
      <c r="AD106" s="165"/>
    </row>
    <row r="107" ht="15.75" customHeight="1">
      <c r="X107" s="217"/>
      <c r="AA107" s="165" t="str">
        <f>IFERROR(__xludf.DUMMYFUNCTION("""COMPUTED_VALUE"""),"Indonesia Nucleotide Archives (INNA), Platform Repository dan Discovery untuk Sekuen Nucleotide versi 1.0")</f>
        <v>Indonesia Nucleotide Archives (INNA), Platform Repository dan Discovery untuk Sekuen Nucleotide versi 1.0</v>
      </c>
      <c r="AB107" s="165" t="str">
        <f>IFERROR(__xludf.DUMMYFUNCTION("""COMPUTED_VALUE"""),"tersertifikasi")</f>
        <v>tersertifikasi</v>
      </c>
      <c r="AC107" s="165" t="str">
        <f>IFERROR(__xludf.DUMMYFUNCTION("""COMPUTED_VALUE"""),"000567424")</f>
        <v>000567424</v>
      </c>
      <c r="AD107" s="165"/>
    </row>
    <row r="108" ht="15.75" customHeight="1">
      <c r="X108" s="217"/>
      <c r="AA108" s="165" t="str">
        <f>IFERROR(__xludf.DUMMYFUNCTION("""COMPUTED_VALUE"""),"Aplikasi Web Peringkasan Lintas Bahasa untuk Bahasa Inggris-Indonesia Versi 1.0")</f>
        <v>Aplikasi Web Peringkasan Lintas Bahasa untuk Bahasa Inggris-Indonesia Versi 1.0</v>
      </c>
      <c r="AB108" s="165" t="str">
        <f>IFERROR(__xludf.DUMMYFUNCTION("""COMPUTED_VALUE"""),"tersertifikasi")</f>
        <v>tersertifikasi</v>
      </c>
      <c r="AC108" s="165" t="str">
        <f>IFERROR(__xludf.DUMMYFUNCTION("""COMPUTED_VALUE"""),"000565208")</f>
        <v>000565208</v>
      </c>
      <c r="AD108" s="165"/>
    </row>
    <row r="109" ht="15.75" customHeight="1">
      <c r="X109" s="217"/>
      <c r="AA109" s="165" t="str">
        <f>IFERROR(__xludf.DUMMYFUNCTION("""COMPUTED_VALUE"""),"DISCHEV (Discharge Evaluation)")</f>
        <v>DISCHEV (Discharge Evaluation)</v>
      </c>
      <c r="AB109" s="165" t="str">
        <f>IFERROR(__xludf.DUMMYFUNCTION("""COMPUTED_VALUE"""),"tersertifikasi")</f>
        <v>tersertifikasi</v>
      </c>
      <c r="AC109" s="165" t="str">
        <f>IFERROR(__xludf.DUMMYFUNCTION("""COMPUTED_VALUE"""),"000564508")</f>
        <v>000564508</v>
      </c>
      <c r="AD109" s="165"/>
    </row>
    <row r="110" ht="15.75" customHeight="1">
      <c r="X110" s="217"/>
      <c r="AA110" s="165" t="str">
        <f>IFERROR(__xludf.DUMMYFUNCTION("""COMPUTED_VALUE"""),"Software Ingest Data Satelit Orbit Polar Pita-L")</f>
        <v>Software Ingest Data Satelit Orbit Polar Pita-L</v>
      </c>
      <c r="AB110" s="165" t="str">
        <f>IFERROR(__xludf.DUMMYFUNCTION("""COMPUTED_VALUE"""),"Tersertifikasi")</f>
        <v>Tersertifikasi</v>
      </c>
      <c r="AC110" s="165" t="str">
        <f>IFERROR(__xludf.DUMMYFUNCTION("""COMPUTED_VALUE"""),"EC002022107213")</f>
        <v>EC002022107213</v>
      </c>
      <c r="AD110" s="165"/>
    </row>
    <row r="111" ht="15.75" customHeight="1">
      <c r="X111" s="217"/>
      <c r="AA111" s="165" t="str">
        <f>IFERROR(__xludf.DUMMYFUNCTION("""COMPUTED_VALUE"""),"Metode Pendeteksi Dan Rekonstruksi Objek Berbasis Lidar Dua Dimensi Dengan Berbantukan 7 Variasi Teknik Pereduksi Derau")</f>
        <v>Metode Pendeteksi Dan Rekonstruksi Objek Berbasis Lidar Dua Dimensi Dengan Berbantukan 7 Variasi Teknik Pereduksi Derau</v>
      </c>
      <c r="AB111" s="165" t="str">
        <f>IFERROR(__xludf.DUMMYFUNCTION("""COMPUTED_VALUE"""),"Terdaftar")</f>
        <v>Terdaftar</v>
      </c>
      <c r="AC111" s="165" t="str">
        <f>IFERROR(__xludf.DUMMYFUNCTION("""COMPUTED_VALUE"""),"P00202215521")</f>
        <v>P00202215521</v>
      </c>
      <c r="AD111" s="165"/>
    </row>
    <row r="112" ht="15.75" customHeight="1">
      <c r="X112" s="217"/>
      <c r="AA112" s="165" t="str">
        <f>IFERROR(__xludf.DUMMYFUNCTION("""COMPUTED_VALUE"""),"METODE EKSTRAKSI FITUR UNTUK MENDETEKSI TANAMAN MENGGUNAKAN KOMBINASI INTESITAS WARNA DAN ORIENTASI TEKSTUR")</f>
        <v>METODE EKSTRAKSI FITUR UNTUK MENDETEKSI TANAMAN MENGGUNAKAN KOMBINASI INTESITAS WARNA DAN ORIENTASI TEKSTUR</v>
      </c>
      <c r="AB112" s="165" t="str">
        <f>IFERROR(__xludf.DUMMYFUNCTION("""COMPUTED_VALUE"""),"Tersertifikasi")</f>
        <v>Tersertifikasi</v>
      </c>
      <c r="AC112" s="165" t="str">
        <f>IFERROR(__xludf.DUMMYFUNCTION("""COMPUTED_VALUE"""),"P00201809283")</f>
        <v>P00201809283</v>
      </c>
      <c r="AD112" s="165"/>
    </row>
    <row r="113" ht="15.75" customHeight="1">
      <c r="X113" s="217"/>
      <c r="AA113" s="165" t="str">
        <f>IFERROR(__xludf.DUMMYFUNCTION("""COMPUTED_VALUE"""),"Sistem Monitoring InaCBT")</f>
        <v>Sistem Monitoring InaCBT</v>
      </c>
      <c r="AB113" s="165" t="str">
        <f>IFERROR(__xludf.DUMMYFUNCTION("""COMPUTED_VALUE"""),"Tersertifikasi")</f>
        <v>Tersertifikasi</v>
      </c>
      <c r="AC113" s="165" t="str">
        <f>IFERROR(__xludf.DUMMYFUNCTION("""COMPUTED_VALUE"""),"EC00202338289")</f>
        <v>EC00202338289</v>
      </c>
      <c r="AD113" s="165"/>
    </row>
    <row r="114" ht="15.75" customHeight="1">
      <c r="X114" s="217"/>
      <c r="AA114" s="165" t="str">
        <f>IFERROR(__xludf.DUMMYFUNCTION("""COMPUTED_VALUE"""),"Sistem dan Metode Akses Kendaraan Berbasis Blockchain dan Firewall Tiga Lapis")</f>
        <v>Sistem dan Metode Akses Kendaraan Berbasis Blockchain dan Firewall Tiga Lapis</v>
      </c>
      <c r="AB114" s="165" t="str">
        <f>IFERROR(__xludf.DUMMYFUNCTION("""COMPUTED_VALUE"""),"Terdaftar")</f>
        <v>Terdaftar</v>
      </c>
      <c r="AC114" s="165" t="str">
        <f>IFERROR(__xludf.DUMMYFUNCTION("""COMPUTED_VALUE"""),"P00202303362")</f>
        <v>P00202303362</v>
      </c>
      <c r="AD114" s="165"/>
    </row>
    <row r="115" ht="15.75" customHeight="1">
      <c r="X115" s="217"/>
      <c r="AA115" s="165" t="str">
        <f>IFERROR(__xludf.DUMMYFUNCTION("""COMPUTED_VALUE"""),"Pengaman Tutup Otomatis yang Dipasang Pada Kontainer Kendaraan Niaga")</f>
        <v>Pengaman Tutup Otomatis yang Dipasang Pada Kontainer Kendaraan Niaga</v>
      </c>
      <c r="AB115" s="165" t="str">
        <f>IFERROR(__xludf.DUMMYFUNCTION("""COMPUTED_VALUE"""),"Terdaftar")</f>
        <v>Terdaftar</v>
      </c>
      <c r="AC115" s="165" t="str">
        <f>IFERROR(__xludf.DUMMYFUNCTION("""COMPUTED_VALUE"""),"S00202305868")</f>
        <v>S00202305868</v>
      </c>
      <c r="AD115" s="165"/>
    </row>
    <row r="116" ht="15.75" customHeight="1">
      <c r="X116" s="217"/>
      <c r="AA116" s="165" t="str">
        <f>IFERROR(__xludf.DUMMYFUNCTION("""COMPUTED_VALUE"""),"APLIKASI WEB DETEKSI TINGKAT KEMATANGAN PISANG")</f>
        <v>APLIKASI WEB DETEKSI TINGKAT KEMATANGAN PISANG</v>
      </c>
      <c r="AB116" s="165" t="str">
        <f>IFERROR(__xludf.DUMMYFUNCTION("""COMPUTED_VALUE"""),"Tersertifikasi")</f>
        <v>Tersertifikasi</v>
      </c>
      <c r="AC116" s="165" t="str">
        <f>IFERROR(__xludf.DUMMYFUNCTION("""COMPUTED_VALUE"""),"EC00202364388")</f>
        <v>EC00202364388</v>
      </c>
      <c r="AD116" s="165"/>
    </row>
    <row r="117" ht="15.75" customHeight="1">
      <c r="X117" s="217"/>
      <c r="AA117" s="165" t="str">
        <f>IFERROR(__xludf.DUMMYFUNCTION("""COMPUTED_VALUE"""),"MikSec-Auto Automasi Pengamanan Router MikroTik Berbasis IaC")</f>
        <v>MikSec-Auto Automasi Pengamanan Router MikroTik Berbasis IaC</v>
      </c>
      <c r="AB117" s="165" t="str">
        <f>IFERROR(__xludf.DUMMYFUNCTION("""COMPUTED_VALUE"""),"Terdaftar")</f>
        <v>Terdaftar</v>
      </c>
      <c r="AC117" s="165" t="str">
        <f>IFERROR(__xludf.DUMMYFUNCTION("""COMPUTED_VALUE"""),"EC00202364736")</f>
        <v>EC00202364736</v>
      </c>
      <c r="AD117" s="165"/>
    </row>
    <row r="118" ht="15.75" customHeight="1">
      <c r="X118" s="217"/>
      <c r="AA118" s="165" t="str">
        <f>IFERROR(__xludf.DUMMYFUNCTION("""COMPUTED_VALUE"""),"TTE Integrator")</f>
        <v>TTE Integrator</v>
      </c>
      <c r="AB118" s="165" t="str">
        <f>IFERROR(__xludf.DUMMYFUNCTION("""COMPUTED_VALUE"""),"Tersertifikasi")</f>
        <v>Tersertifikasi</v>
      </c>
      <c r="AC118" s="165" t="str">
        <f>IFERROR(__xludf.DUMMYFUNCTION("""COMPUTED_VALUE"""),"EC00202374406")</f>
        <v>EC00202374406</v>
      </c>
      <c r="AD118" s="165"/>
    </row>
    <row r="119" ht="15.75" customHeight="1">
      <c r="X119" s="217"/>
      <c r="AA119" s="165" t="str">
        <f>IFERROR(__xludf.DUMMYFUNCTION("""COMPUTED_VALUE"""),"SaLFIA: Semi-Automatic Live Feeds Image Annotation")</f>
        <v>SaLFIA: Semi-Automatic Live Feeds Image Annotation</v>
      </c>
      <c r="AB119" s="165" t="str">
        <f>IFERROR(__xludf.DUMMYFUNCTION("""COMPUTED_VALUE"""),"Tersertifikasi")</f>
        <v>Tersertifikasi</v>
      </c>
      <c r="AC119" s="165" t="str">
        <f>IFERROR(__xludf.DUMMYFUNCTION("""COMPUTED_VALUE"""),"EC00202374397")</f>
        <v>EC00202374397</v>
      </c>
      <c r="AD119" s="165"/>
    </row>
    <row r="120" ht="15.75" customHeight="1">
      <c r="X120" s="217"/>
      <c r="AA120" s="165" t="str">
        <f>IFERROR(__xludf.DUMMYFUNCTION("""COMPUTED_VALUE"""),"METODE PENDETEKSIAN KEMATANGAN PISANG TANDUK MENGGUNAKAN ALGORITMA FASTER R-CNN YANG DISESUAIKAN")</f>
        <v>METODE PENDETEKSIAN KEMATANGAN PISANG TANDUK MENGGUNAKAN ALGORITMA FASTER R-CNN YANG DISESUAIKAN</v>
      </c>
      <c r="AB120" s="165" t="str">
        <f>IFERROR(__xludf.DUMMYFUNCTION("""COMPUTED_VALUE"""),"Terdaftar")</f>
        <v>Terdaftar</v>
      </c>
      <c r="AC120" s="165" t="str">
        <f>IFERROR(__xludf.DUMMYFUNCTION("""COMPUTED_VALUE"""),"P00202309801")</f>
        <v>P00202309801</v>
      </c>
      <c r="AD120" s="165"/>
    </row>
    <row r="121" ht="15.75" customHeight="1">
      <c r="X121" s="217"/>
      <c r="AA121" s="165" t="str">
        <f>IFERROR(__xludf.DUMMYFUNCTION("""COMPUTED_VALUE"""),"OFF-Gen: Penghasil Dataset Network Flow berbasis Protokol OpenFlow")</f>
        <v>OFF-Gen: Penghasil Dataset Network Flow berbasis Protokol OpenFlow</v>
      </c>
      <c r="AB121" s="165" t="str">
        <f>IFERROR(__xludf.DUMMYFUNCTION("""COMPUTED_VALUE"""),"Tersertifikasi")</f>
        <v>Tersertifikasi</v>
      </c>
      <c r="AC121" s="165" t="str">
        <f>IFERROR(__xludf.DUMMYFUNCTION("""COMPUTED_VALUE"""),"EC00202374399")</f>
        <v>EC00202374399</v>
      </c>
      <c r="AD121" s="165"/>
    </row>
    <row r="122" ht="15.75" customHeight="1">
      <c r="X122" s="217"/>
      <c r="AA122" s="165" t="str">
        <f>IFERROR(__xludf.DUMMYFUNCTION("""COMPUTED_VALUE"""),"Metode Penerjemahan Bahasa Isyarat Indonesia berbasis Analisis Data Video")</f>
        <v>Metode Penerjemahan Bahasa Isyarat Indonesia berbasis Analisis Data Video</v>
      </c>
      <c r="AB122" s="165" t="str">
        <f>IFERROR(__xludf.DUMMYFUNCTION("""COMPUTED_VALUE"""),"Terdaftar")</f>
        <v>Terdaftar</v>
      </c>
      <c r="AC122" s="165" t="str">
        <f>IFERROR(__xludf.DUMMYFUNCTION("""COMPUTED_VALUE"""),"P00202306955")</f>
        <v>P00202306955</v>
      </c>
      <c r="AD122" s="165"/>
    </row>
    <row r="123" ht="15.75" customHeight="1">
      <c r="X123" s="217"/>
      <c r="AA123" s="165" t="str">
        <f>IFERROR(__xludf.DUMMYFUNCTION("""COMPUTED_VALUE"""),"ANTENA MIKROSTRIP PERSEGI BERPOLARISASI MELINGKAR DENGAN CELAH CINCIN DAN ELEMEN PARASIT")</f>
        <v>ANTENA MIKROSTRIP PERSEGI BERPOLARISASI MELINGKAR DENGAN CELAH CINCIN DAN ELEMEN PARASIT</v>
      </c>
      <c r="AB123" s="165" t="str">
        <f>IFERROR(__xludf.DUMMYFUNCTION("""COMPUTED_VALUE"""),"Terdaftar")</f>
        <v>Terdaftar</v>
      </c>
      <c r="AC123" s="165" t="str">
        <f>IFERROR(__xludf.DUMMYFUNCTION("""COMPUTED_VALUE"""),"P00202306988")</f>
        <v>P00202306988</v>
      </c>
      <c r="AD123" s="165"/>
    </row>
    <row r="124" ht="15.75" customHeight="1">
      <c r="X124" s="217"/>
      <c r="AA124" s="165" t="str">
        <f>IFERROR(__xludf.DUMMYFUNCTION("""COMPUTED_VALUE"""),"Aplikasi Pemilu Elektronik (e-Voting)")</f>
        <v>Aplikasi Pemilu Elektronik (e-Voting)</v>
      </c>
      <c r="AB124" s="165" t="str">
        <f>IFERROR(__xludf.DUMMYFUNCTION("""COMPUTED_VALUE"""),"Tersertifikasi")</f>
        <v>Tersertifikasi</v>
      </c>
      <c r="AC124" s="165" t="str">
        <f>IFERROR(__xludf.DUMMYFUNCTION("""COMPUTED_VALUE"""),"EC002023102555")</f>
        <v>EC002023102555</v>
      </c>
      <c r="AD124" s="165"/>
    </row>
    <row r="125" ht="15.75" customHeight="1">
      <c r="X125" s="217"/>
      <c r="AA125" s="165" t="str">
        <f>IFERROR(__xludf.DUMMYFUNCTION("""COMPUTED_VALUE"""),"Fungus: Aplikasi Klasifikasi 5 Genus Kapang Jamur")</f>
        <v>Fungus: Aplikasi Klasifikasi 5 Genus Kapang Jamur</v>
      </c>
      <c r="AB125" s="165" t="str">
        <f>IFERROR(__xludf.DUMMYFUNCTION("""COMPUTED_VALUE"""),"Tersertifikasi")</f>
        <v>Tersertifikasi</v>
      </c>
      <c r="AC125" s="165" t="str">
        <f>IFERROR(__xludf.DUMMYFUNCTION("""COMPUTED_VALUE"""),"EC002023102568")</f>
        <v>EC002023102568</v>
      </c>
      <c r="AD125" s="165"/>
    </row>
    <row r="126" ht="15.75" customHeight="1">
      <c r="X126" s="217"/>
      <c r="AA126" s="165" t="str">
        <f>IFERROR(__xludf.DUMMYFUNCTION("""COMPUTED_VALUE"""),"CDC-Detect Aplikasi klasifikasi tingkat keparahan cacar daun cengkeh.")</f>
        <v>CDC-Detect Aplikasi klasifikasi tingkat keparahan cacar daun cengkeh.</v>
      </c>
      <c r="AB126" s="165" t="str">
        <f>IFERROR(__xludf.DUMMYFUNCTION("""COMPUTED_VALUE"""),"Tersertifikasi")</f>
        <v>Tersertifikasi</v>
      </c>
      <c r="AC126" s="165" t="str">
        <f>IFERROR(__xludf.DUMMYFUNCTION("""COMPUTED_VALUE"""),"EC002023102573")</f>
        <v>EC002023102573</v>
      </c>
      <c r="AD126" s="165"/>
    </row>
    <row r="127" ht="15.75" customHeight="1">
      <c r="X127" s="217"/>
      <c r="AA127" s="165" t="str">
        <f>IFERROR(__xludf.DUMMYFUNCTION("""COMPUTED_VALUE"""),"Metode untuk Mengukur Indeks Kualitas Air Secara Otomatis")</f>
        <v>Metode untuk Mengukur Indeks Kualitas Air Secara Otomatis</v>
      </c>
      <c r="AB127" s="165" t="str">
        <f>IFERROR(__xludf.DUMMYFUNCTION("""COMPUTED_VALUE"""),"Terdaftar")</f>
        <v>Terdaftar</v>
      </c>
      <c r="AC127" s="165" t="str">
        <f>IFERROR(__xludf.DUMMYFUNCTION("""COMPUTED_VALUE"""),"P00202311518")</f>
        <v>P00202311518</v>
      </c>
      <c r="AD127" s="165"/>
    </row>
    <row r="128" ht="15.75" customHeight="1">
      <c r="X128" s="217"/>
      <c r="AA128" s="165" t="str">
        <f>IFERROR(__xludf.DUMMYFUNCTION("""COMPUTED_VALUE"""),"ALAT PENGGILING TEBU ROL BERLUBANG")</f>
        <v>ALAT PENGGILING TEBU ROL BERLUBANG</v>
      </c>
      <c r="AB128" s="165" t="str">
        <f>IFERROR(__xludf.DUMMYFUNCTION("""COMPUTED_VALUE"""),"Terdaftar")</f>
        <v>Terdaftar</v>
      </c>
      <c r="AC128" s="165" t="str">
        <f>IFERROR(__xludf.DUMMYFUNCTION("""COMPUTED_VALUE"""),"P00202309766")</f>
        <v>P00202309766</v>
      </c>
      <c r="AD128" s="165"/>
    </row>
    <row r="129" ht="15.75" customHeight="1">
      <c r="X129" s="217"/>
      <c r="AA129" s="165" t="str">
        <f>IFERROR(__xludf.DUMMYFUNCTION("""COMPUTED_VALUE"""),"Alat Kendali dan Metode Terdistribusi Nirkabel Pada Kendaraan Listrik Otonom")</f>
        <v>Alat Kendali dan Metode Terdistribusi Nirkabel Pada Kendaraan Listrik Otonom</v>
      </c>
      <c r="AB129" s="165" t="str">
        <f>IFERROR(__xludf.DUMMYFUNCTION("""COMPUTED_VALUE"""),"Terdaftar")</f>
        <v>Terdaftar</v>
      </c>
      <c r="AC129" s="165" t="str">
        <f>IFERROR(__xludf.DUMMYFUNCTION("""COMPUTED_VALUE"""),"P00202310530")</f>
        <v>P00202310530</v>
      </c>
      <c r="AD129" s="165"/>
    </row>
    <row r="130" ht="15.75" customHeight="1">
      <c r="X130" s="217"/>
      <c r="AA130" s="165" t="str">
        <f>IFERROR(__xludf.DUMMYFUNCTION("""COMPUTED_VALUE"""),"FaCoSwap: Aplikasi Penukar Komponen Wajah")</f>
        <v>FaCoSwap: Aplikasi Penukar Komponen Wajah</v>
      </c>
      <c r="AB130" s="165" t="str">
        <f>IFERROR(__xludf.DUMMYFUNCTION("""COMPUTED_VALUE"""),"Tersertifikasi")</f>
        <v>Tersertifikasi</v>
      </c>
      <c r="AC130" s="165" t="str">
        <f>IFERROR(__xludf.DUMMYFUNCTION("""COMPUTED_VALUE"""),"EC002023132253")</f>
        <v>EC002023132253</v>
      </c>
      <c r="AD130" s="165"/>
    </row>
    <row r="131" ht="15.75" customHeight="1">
      <c r="X131" s="217"/>
      <c r="AA131" s="165" t="str">
        <f>IFERROR(__xludf.DUMMYFUNCTION("""COMPUTED_VALUE"""),"SiDEWI (Sistem Deteksi Wajah dengan Indikator Tertentu untuk Keamanan)")</f>
        <v>SiDEWI (Sistem Deteksi Wajah dengan Indikator Tertentu untuk Keamanan)</v>
      </c>
      <c r="AB131" s="165" t="str">
        <f>IFERROR(__xludf.DUMMYFUNCTION("""COMPUTED_VALUE"""),"Tersertifikasi")</f>
        <v>Tersertifikasi</v>
      </c>
      <c r="AC131" s="165" t="str">
        <f>IFERROR(__xludf.DUMMYFUNCTION("""COMPUTED_VALUE"""),"EC002023123727")</f>
        <v>EC002023123727</v>
      </c>
      <c r="AD131" s="165"/>
    </row>
    <row r="132" ht="15.75" customHeight="1">
      <c r="X132" s="217"/>
      <c r="AA132" s="165" t="str">
        <f>IFERROR(__xludf.DUMMYFUNCTION("""COMPUTED_VALUE"""),"Sistem Database Mask Image untuk Dataset Segmentasi Citra Mikroorganisme Kapang")</f>
        <v>Sistem Database Mask Image untuk Dataset Segmentasi Citra Mikroorganisme Kapang</v>
      </c>
      <c r="AB132" s="165" t="str">
        <f>IFERROR(__xludf.DUMMYFUNCTION("""COMPUTED_VALUE"""),"Tersertifikasi")</f>
        <v>Tersertifikasi</v>
      </c>
      <c r="AC132" s="165" t="str">
        <f>IFERROR(__xludf.DUMMYFUNCTION("""COMPUTED_VALUE"""),"EC002023129183")</f>
        <v>EC002023129183</v>
      </c>
      <c r="AD132" s="165"/>
    </row>
    <row r="133" ht="15.75" customHeight="1">
      <c r="X133" s="217"/>
      <c r="AA133" s="165" t="str">
        <f>IFERROR(__xludf.DUMMYFUNCTION("""COMPUTED_VALUE"""),"SiMaFor : Sistem Identifikasi Image Forgery")</f>
        <v>SiMaFor : Sistem Identifikasi Image Forgery</v>
      </c>
      <c r="AB133" s="165" t="str">
        <f>IFERROR(__xludf.DUMMYFUNCTION("""COMPUTED_VALUE"""),"Tersertifikasi")</f>
        <v>Tersertifikasi</v>
      </c>
      <c r="AC133" s="165" t="str">
        <f>IFERROR(__xludf.DUMMYFUNCTION("""COMPUTED_VALUE"""),"EC002023123731")</f>
        <v>EC002023123731</v>
      </c>
      <c r="AD133" s="165"/>
    </row>
    <row r="134" ht="15.75" customHeight="1">
      <c r="X134" s="217"/>
      <c r="AA134" s="165" t="str">
        <f>IFERROR(__xludf.DUMMYFUNCTION("""COMPUTED_VALUE"""),"Perangkat Lunak Pemantauan Perilaku Pengemudi")</f>
        <v>Perangkat Lunak Pemantauan Perilaku Pengemudi</v>
      </c>
      <c r="AB134" s="165" t="str">
        <f>IFERROR(__xludf.DUMMYFUNCTION("""COMPUTED_VALUE"""),"Tersertifikasi")</f>
        <v>Tersertifikasi</v>
      </c>
      <c r="AC134" s="165" t="str">
        <f>IFERROR(__xludf.DUMMYFUNCTION("""COMPUTED_VALUE"""),"EC002023131551")</f>
        <v>EC002023131551</v>
      </c>
      <c r="AD134" s="165"/>
    </row>
    <row r="135" ht="15.75" customHeight="1">
      <c r="X135" s="217"/>
      <c r="AA135" s="165" t="str">
        <f>IFERROR(__xludf.DUMMYFUNCTION("""COMPUTED_VALUE"""),"Dataset gambar untuk penghitungan orang di luar ruangan pada area publik")</f>
        <v>Dataset gambar untuk penghitungan orang di luar ruangan pada area publik</v>
      </c>
      <c r="AB135" s="165" t="str">
        <f>IFERROR(__xludf.DUMMYFUNCTION("""COMPUTED_VALUE"""),"Tersertifikasi")</f>
        <v>Tersertifikasi</v>
      </c>
      <c r="AC135" s="165" t="str">
        <f>IFERROR(__xludf.DUMMYFUNCTION("""COMPUTED_VALUE"""),"EC002023133145")</f>
        <v>EC002023133145</v>
      </c>
      <c r="AD135" s="165"/>
    </row>
    <row r="136" ht="15.75" customHeight="1">
      <c r="X136" s="217"/>
      <c r="AA136" s="165" t="str">
        <f>IFERROR(__xludf.DUMMYFUNCTION("""COMPUTED_VALUE"""),"MatPisDuk: Perangkat Lunak Detektor Kematangan Pisang Tanduk")</f>
        <v>MatPisDuk: Perangkat Lunak Detektor Kematangan Pisang Tanduk</v>
      </c>
      <c r="AB136" s="165" t="str">
        <f>IFERROR(__xludf.DUMMYFUNCTION("""COMPUTED_VALUE"""),"Tersertifikasi")</f>
        <v>Tersertifikasi</v>
      </c>
      <c r="AC136" s="165" t="str">
        <f>IFERROR(__xludf.DUMMYFUNCTION("""COMPUTED_VALUE"""),"EC002023133156")</f>
        <v>EC002023133156</v>
      </c>
      <c r="AD136" s="165"/>
    </row>
    <row r="137" ht="15.75" customHeight="1">
      <c r="X137" s="217"/>
      <c r="AA137" s="165" t="str">
        <f>IFERROR(__xludf.DUMMYFUNCTION("""COMPUTED_VALUE"""),"K'Mis Siraman: Sistem Klasifikasi Mikro-plastik Dengan Spektrum Raman")</f>
        <v>K'Mis Siraman: Sistem Klasifikasi Mikro-plastik Dengan Spektrum Raman</v>
      </c>
      <c r="AB137" s="165" t="str">
        <f>IFERROR(__xludf.DUMMYFUNCTION("""COMPUTED_VALUE"""),"Tersertifikasi")</f>
        <v>Tersertifikasi</v>
      </c>
      <c r="AC137" s="165" t="str">
        <f>IFERROR(__xludf.DUMMYFUNCTION("""COMPUTED_VALUE"""),"EC002023133152")</f>
        <v>EC002023133152</v>
      </c>
      <c r="AD137" s="165"/>
    </row>
    <row r="138" ht="15.75" customHeight="1">
      <c r="X138" s="217"/>
      <c r="AA138" s="165" t="str">
        <f>IFERROR(__xludf.DUMMYFUNCTION("""COMPUTED_VALUE"""),"Alat Pengendali Tegangan Pada Range Extender Hibrid Di Kendaraan")</f>
        <v>Alat Pengendali Tegangan Pada Range Extender Hibrid Di Kendaraan</v>
      </c>
      <c r="AB138" s="165" t="str">
        <f>IFERROR(__xludf.DUMMYFUNCTION("""COMPUTED_VALUE"""),"Terdaftar")</f>
        <v>Terdaftar</v>
      </c>
      <c r="AC138" s="165" t="str">
        <f>IFERROR(__xludf.DUMMYFUNCTION("""COMPUTED_VALUE"""),"P00202304821
")</f>
        <v>P00202304821
</v>
      </c>
      <c r="AD138" s="165"/>
    </row>
    <row r="139" ht="15.75" customHeight="1">
      <c r="X139" s="217"/>
      <c r="AA139" s="165" t="str">
        <f>IFERROR(__xludf.DUMMYFUNCTION("""COMPUTED_VALUE"""),"ALAT PEMBACA METERAN AIR NIRKABEL BERBASIS SENSOR LC HEMAT DAYA DAN METODE PEMBACAANNYA")</f>
        <v>ALAT PEMBACA METERAN AIR NIRKABEL BERBASIS SENSOR LC HEMAT DAYA DAN METODE PEMBACAANNYA</v>
      </c>
      <c r="AB139" s="165" t="str">
        <f>IFERROR(__xludf.DUMMYFUNCTION("""COMPUTED_VALUE"""),"Terdaftar")</f>
        <v>Terdaftar</v>
      </c>
      <c r="AC139" s="165" t="str">
        <f>IFERROR(__xludf.DUMMYFUNCTION("""COMPUTED_VALUE"""),"P00202303369
")</f>
        <v>P00202303369
</v>
      </c>
      <c r="AD139" s="165"/>
    </row>
    <row r="140" ht="15.75" customHeight="1">
      <c r="X140" s="217"/>
      <c r="AA140" s="165" t="str">
        <f>IFERROR(__xludf.DUMMYFUNCTION("""COMPUTED_VALUE"""),"PERALATAN PENGUKURAN KECEPATAN DAN PROTEKSI ARUS UNTUK MOTOR ARUS SEARAH TANPA-SIKAT")</f>
        <v>PERALATAN PENGUKURAN KECEPATAN DAN PROTEKSI ARUS UNTUK MOTOR ARUS SEARAH TANPA-SIKAT</v>
      </c>
      <c r="AB140" s="165" t="str">
        <f>IFERROR(__xludf.DUMMYFUNCTION("""COMPUTED_VALUE"""),"Granted")</f>
        <v>Granted</v>
      </c>
      <c r="AC140" s="165" t="str">
        <f>IFERROR(__xludf.DUMMYFUNCTION("""COMPUTED_VALUE"""),"S00201905050
")</f>
        <v>S00201905050
</v>
      </c>
      <c r="AD140" s="165"/>
    </row>
    <row r="141" ht="15.75" customHeight="1">
      <c r="X141" s="217"/>
      <c r="AA141" s="165" t="str">
        <f>IFERROR(__xludf.DUMMYFUNCTION("""COMPUTED_VALUE"""),"PERANGKAT UJI FUNGSIONAL SENSOR GIROSKOP JAMAK")</f>
        <v>PERANGKAT UJI FUNGSIONAL SENSOR GIROSKOP JAMAK</v>
      </c>
      <c r="AB141" s="165" t="str">
        <f>IFERROR(__xludf.DUMMYFUNCTION("""COMPUTED_VALUE"""),"Granted")</f>
        <v>Granted</v>
      </c>
      <c r="AC141" s="165" t="str">
        <f>IFERROR(__xludf.DUMMYFUNCTION("""COMPUTED_VALUE"""),"S00201905227
")</f>
        <v>S00201905227
</v>
      </c>
      <c r="AD141" s="165"/>
    </row>
    <row r="142" ht="15.75" customHeight="1">
      <c r="X142" s="217"/>
      <c r="AA142" s="165" t="str">
        <f>IFERROR(__xludf.DUMMYFUNCTION("""COMPUTED_VALUE"""),"SISTEM PENGGERAK RODA MODULAR KENDARAAN OTONOM")</f>
        <v>SISTEM PENGGERAK RODA MODULAR KENDARAAN OTONOM</v>
      </c>
      <c r="AB142" s="165" t="str">
        <f>IFERROR(__xludf.DUMMYFUNCTION("""COMPUTED_VALUE"""),"Terdaftar")</f>
        <v>Terdaftar</v>
      </c>
      <c r="AC142" s="165" t="str">
        <f>IFERROR(__xludf.DUMMYFUNCTION("""COMPUTED_VALUE"""),"P00202215492
")</f>
        <v>P00202215492
</v>
      </c>
      <c r="AD142" s="165"/>
    </row>
    <row r="143" ht="15.75" customHeight="1">
      <c r="X143" s="217"/>
      <c r="AA143" s="165" t="str">
        <f>IFERROR(__xludf.DUMMYFUNCTION("""COMPUTED_VALUE"""),"ALAT BANTU EKSOSKELETON UNTUK PEMANEN KELAPA SAWIT")</f>
        <v>ALAT BANTU EKSOSKELETON UNTUK PEMANEN KELAPA SAWIT</v>
      </c>
      <c r="AB143" s="165" t="str">
        <f>IFERROR(__xludf.DUMMYFUNCTION("""COMPUTED_VALUE"""),"Terdaftar")</f>
        <v>Terdaftar</v>
      </c>
      <c r="AC143" s="165" t="str">
        <f>IFERROR(__xludf.DUMMYFUNCTION("""COMPUTED_VALUE"""),"P00202215442
")</f>
        <v>P00202215442
</v>
      </c>
      <c r="AD143" s="165"/>
    </row>
    <row r="144" ht="15.75" customHeight="1">
      <c r="X144" s="217"/>
      <c r="AA144" s="165" t="str">
        <f>IFERROR(__xludf.DUMMYFUNCTION("""COMPUTED_VALUE"""),"ALAT DAN METODE UNTUK MENGALIHKAN MODE REM ANTARA MANUAL DAN OTONOM PADA KENDARAAN")</f>
        <v>ALAT DAN METODE UNTUK MENGALIHKAN MODE REM ANTARA MANUAL DAN OTONOM PADA KENDARAAN</v>
      </c>
      <c r="AB144" s="165" t="str">
        <f>IFERROR(__xludf.DUMMYFUNCTION("""COMPUTED_VALUE"""),"Terdaftar")</f>
        <v>Terdaftar</v>
      </c>
      <c r="AC144" s="165" t="str">
        <f>IFERROR(__xludf.DUMMYFUNCTION("""COMPUTED_VALUE"""),"P00202215202
")</f>
        <v>P00202215202
</v>
      </c>
      <c r="AD144" s="165"/>
    </row>
    <row r="145" ht="15.75" customHeight="1">
      <c r="X145" s="217"/>
      <c r="AA145" s="165" t="str">
        <f>IFERROR(__xludf.DUMMYFUNCTION("""COMPUTED_VALUE"""),"PERANGKAT BERGERAK OTOMATIS DAN MODULAR PENSTERILISASI RUANGAN MENGGUNAKAN SINAR ULTRAVIOLET")</f>
        <v>PERANGKAT BERGERAK OTOMATIS DAN MODULAR PENSTERILISASI RUANGAN MENGGUNAKAN SINAR ULTRAVIOLET</v>
      </c>
      <c r="AB145" s="165" t="str">
        <f>IFERROR(__xludf.DUMMYFUNCTION("""COMPUTED_VALUE"""),"Granted")</f>
        <v>Granted</v>
      </c>
      <c r="AC145" s="165" t="str">
        <f>IFERROR(__xludf.DUMMYFUNCTION("""COMPUTED_VALUE"""),"S00202010614
")</f>
        <v>S00202010614
</v>
      </c>
      <c r="AD145" s="165"/>
    </row>
    <row r="146" ht="15.75" customHeight="1">
      <c r="X146" s="217"/>
      <c r="AA146" s="165" t="str">
        <f>IFERROR(__xludf.DUMMYFUNCTION("""COMPUTED_VALUE"""),"METODA UNTUK MENDETEKSI RESPON METADON PADA PASIEN REHABILITASI NAPZA BERBASIS SINYAL AKTIVITAS ELEKTRIK OTAK")</f>
        <v>METODA UNTUK MENDETEKSI RESPON METADON PADA PASIEN REHABILITASI NAPZA BERBASIS SINYAL AKTIVITAS ELEKTRIK OTAK</v>
      </c>
      <c r="AB146" s="165" t="str">
        <f>IFERROR(__xludf.DUMMYFUNCTION("""COMPUTED_VALUE"""),"Granted")</f>
        <v>Granted</v>
      </c>
      <c r="AC146" s="165" t="str">
        <f>IFERROR(__xludf.DUMMYFUNCTION("""COMPUTED_VALUE"""),"P00201910636
")</f>
        <v>P00201910636
</v>
      </c>
      <c r="AD146" s="165"/>
    </row>
    <row r="147" ht="15.75" customHeight="1">
      <c r="X147" s="217"/>
      <c r="AA147" s="165" t="str">
        <f>IFERROR(__xludf.DUMMYFUNCTION("""COMPUTED_VALUE"""),"METODA DAN ALAT UNTUK MENDETEKSI PRIBADI IMPULSIF TERHADAP PENGGUNAAN NARKOBA BERBASIS SINYAL OTAK")</f>
        <v>METODA DAN ALAT UNTUK MENDETEKSI PRIBADI IMPULSIF TERHADAP PENGGUNAAN NARKOBA BERBASIS SINYAL OTAK</v>
      </c>
      <c r="AB147" s="165" t="str">
        <f>IFERROR(__xludf.DUMMYFUNCTION("""COMPUTED_VALUE"""),"Granted")</f>
        <v>Granted</v>
      </c>
      <c r="AC147" s="165" t="str">
        <f>IFERROR(__xludf.DUMMYFUNCTION("""COMPUTED_VALUE"""),"P00201707644
")</f>
        <v>P00201707644
</v>
      </c>
      <c r="AD147" s="165"/>
    </row>
    <row r="148" ht="15.75" customHeight="1">
      <c r="X148" s="217"/>
      <c r="AA148" s="165" t="str">
        <f>IFERROR(__xludf.DUMMYFUNCTION("""COMPUTED_VALUE"""),"SENSOR KELEMBABAN BERBASIS POLIVINIL ALKOHOL DAN TIMAH OKSIDA MENGGUNAKAN TEKNOLOGI FILM TEBAL")</f>
        <v>SENSOR KELEMBABAN BERBASIS POLIVINIL ALKOHOL DAN TIMAH OKSIDA MENGGUNAKAN TEKNOLOGI FILM TEBAL</v>
      </c>
      <c r="AB148" s="165" t="str">
        <f>IFERROR(__xludf.DUMMYFUNCTION("""COMPUTED_VALUE"""),"Terdaftar")</f>
        <v>Terdaftar</v>
      </c>
      <c r="AC148" s="165" t="str">
        <f>IFERROR(__xludf.DUMMYFUNCTION("""COMPUTED_VALUE"""),"P00202215449
")</f>
        <v>P00202215449
</v>
      </c>
      <c r="AD148" s="165"/>
    </row>
    <row r="149" ht="15.75" customHeight="1">
      <c r="X149" s="217"/>
      <c r="AA149" s="165" t="str">
        <f>IFERROR(__xludf.DUMMYFUNCTION("""COMPUTED_VALUE"""),"Pengendali Saklar Lampu Pasang-Pakai")</f>
        <v>Pengendali Saklar Lampu Pasang-Pakai</v>
      </c>
      <c r="AB149" s="165" t="str">
        <f>IFERROR(__xludf.DUMMYFUNCTION("""COMPUTED_VALUE"""),"Terdaftar")</f>
        <v>Terdaftar</v>
      </c>
      <c r="AC149" s="165" t="str">
        <f>IFERROR(__xludf.DUMMYFUNCTION("""COMPUTED_VALUE"""),"A00202302003
")</f>
        <v>A00202302003
</v>
      </c>
      <c r="AD149" s="165"/>
    </row>
    <row r="150" ht="15.75" customHeight="1">
      <c r="X150" s="217"/>
      <c r="AA150" s="165" t="str">
        <f>IFERROR(__xludf.DUMMYFUNCTION("""COMPUTED_VALUE"""),"Casing Pistol")</f>
        <v>Casing Pistol</v>
      </c>
      <c r="AB150" s="165" t="str">
        <f>IFERROR(__xludf.DUMMYFUNCTION("""COMPUTED_VALUE"""),"Terdaftar")</f>
        <v>Terdaftar</v>
      </c>
      <c r="AC150" s="165" t="str">
        <f>IFERROR(__xludf.DUMMYFUNCTION("""COMPUTED_VALUE"""),"A00202301642
")</f>
        <v>A00202301642
</v>
      </c>
      <c r="AD150" s="165"/>
    </row>
    <row r="151" ht="15.75" customHeight="1">
      <c r="X151" s="217"/>
      <c r="AA151" s="165" t="str">
        <f>IFERROR(__xludf.DUMMYFUNCTION("""COMPUTED_VALUE"""),"Botol minum dilengkapi dudukan HP")</f>
        <v>Botol minum dilengkapi dudukan HP</v>
      </c>
      <c r="AB151" s="165" t="str">
        <f>IFERROR(__xludf.DUMMYFUNCTION("""COMPUTED_VALUE"""),"Terdaftar")</f>
        <v>Terdaftar</v>
      </c>
      <c r="AC151" s="165" t="str">
        <f>IFERROR(__xludf.DUMMYFUNCTION("""COMPUTED_VALUE"""),"A00202301641
")</f>
        <v>A00202301641
</v>
      </c>
      <c r="AD151" s="165"/>
    </row>
    <row r="152" ht="15.75" customHeight="1">
      <c r="X152" s="217"/>
      <c r="AA152" s="165" t="str">
        <f>IFERROR(__xludf.DUMMYFUNCTION("""COMPUTED_VALUE"""),"Smart Coffee Roaster - Aplikasi untuk mengontrol mesin kopi roaster")</f>
        <v>Smart Coffee Roaster - Aplikasi untuk mengontrol mesin kopi roaster</v>
      </c>
      <c r="AB152" s="165" t="str">
        <f>IFERROR(__xludf.DUMMYFUNCTION("""COMPUTED_VALUE"""),"Tersertifikasi")</f>
        <v>Tersertifikasi</v>
      </c>
      <c r="AC152" s="165" t="str">
        <f>IFERROR(__xludf.DUMMYFUNCTION("""COMPUTED_VALUE"""),"EC00202332241
")</f>
        <v>EC00202332241
</v>
      </c>
      <c r="AD152" s="165"/>
    </row>
    <row r="153" ht="15.75" customHeight="1">
      <c r="X153" s="217"/>
      <c r="AA153" s="165" t="str">
        <f>IFERROR(__xludf.DUMMYFUNCTION("""COMPUTED_VALUE"""),"PENGAMAN TUTUP OTOMATIS YANG DIPASANG PADA KONTAINER KENDARAAN NIAGA")</f>
        <v>PENGAMAN TUTUP OTOMATIS YANG DIPASANG PADA KONTAINER KENDARAAN NIAGA</v>
      </c>
      <c r="AB153" s="165" t="str">
        <f>IFERROR(__xludf.DUMMYFUNCTION("""COMPUTED_VALUE"""),"Terdaftar")</f>
        <v>Terdaftar</v>
      </c>
      <c r="AC153" s="165" t="str">
        <f>IFERROR(__xludf.DUMMYFUNCTION("""COMPUTED_VALUE"""),"S00202305868
")</f>
        <v>S00202305868
</v>
      </c>
      <c r="AD153" s="165"/>
    </row>
    <row r="154" ht="15.75" customHeight="1">
      <c r="X154" s="217"/>
      <c r="AA154" s="165" t="str">
        <f>IFERROR(__xludf.DUMMYFUNCTION("""COMPUTED_VALUE"""),"Casing GearBox")</f>
        <v>Casing GearBox</v>
      </c>
      <c r="AB154" s="165" t="str">
        <f>IFERROR(__xludf.DUMMYFUNCTION("""COMPUTED_VALUE"""),"Terdaftar")</f>
        <v>Terdaftar</v>
      </c>
      <c r="AC154" s="165" t="str">
        <f>IFERROR(__xludf.DUMMYFUNCTION("""COMPUTED_VALUE"""),"A00202303116
")</f>
        <v>A00202303116
</v>
      </c>
      <c r="AD154" s="165"/>
    </row>
    <row r="155" ht="15.75" customHeight="1">
      <c r="X155" s="217"/>
      <c r="AA155" s="165" t="str">
        <f>IFERROR(__xludf.DUMMYFUNCTION("""COMPUTED_VALUE"""),"STEKER DAN STOPKONTAK UNTUK PENGISIAN ARUS SEARAH DAN ARUS BOLAK-BALIK KENDARAAN LISTRIK RODA DUA ATAU TIGA")</f>
        <v>STEKER DAN STOPKONTAK UNTUK PENGISIAN ARUS SEARAH DAN ARUS BOLAK-BALIK KENDARAAN LISTRIK RODA DUA ATAU TIGA</v>
      </c>
      <c r="AB155" s="165" t="str">
        <f>IFERROR(__xludf.DUMMYFUNCTION("""COMPUTED_VALUE"""),"Terdaftar")</f>
        <v>Terdaftar</v>
      </c>
      <c r="AC155" s="165" t="str">
        <f>IFERROR(__xludf.DUMMYFUNCTION("""COMPUTED_VALUE"""),"P00202309718")</f>
        <v>P00202309718</v>
      </c>
      <c r="AD155" s="165"/>
    </row>
    <row r="156" ht="15.75" customHeight="1">
      <c r="X156" s="217"/>
      <c r="AA156" s="165" t="str">
        <f>IFERROR(__xludf.DUMMYFUNCTION("""COMPUTED_VALUE"""),"UNIT PENGOLAH AIR BAKU MENJADI AIR SIAP MINUM MENGGUNAKAN NANO BUBBLE OZON")</f>
        <v>UNIT PENGOLAH AIR BAKU MENJADI AIR SIAP MINUM MENGGUNAKAN NANO BUBBLE OZON</v>
      </c>
      <c r="AB156" s="165" t="str">
        <f>IFERROR(__xludf.DUMMYFUNCTION("""COMPUTED_VALUE"""),"Granted")</f>
        <v>Granted</v>
      </c>
      <c r="AC156" s="165" t="str">
        <f>IFERROR(__xludf.DUMMYFUNCTION("""COMPUTED_VALUE"""),"S00202105270")</f>
        <v>S00202105270</v>
      </c>
      <c r="AD156" s="165"/>
    </row>
    <row r="157" ht="15.75" customHeight="1">
      <c r="X157" s="217"/>
      <c r="AA157" s="165" t="str">
        <f>IFERROR(__xludf.DUMMYFUNCTION("""COMPUTED_VALUE"""),"Casing Alat Pembaca Meteran Air menggunakan Kamera")</f>
        <v>Casing Alat Pembaca Meteran Air menggunakan Kamera</v>
      </c>
      <c r="AB157" s="165" t="str">
        <f>IFERROR(__xludf.DUMMYFUNCTION("""COMPUTED_VALUE"""),"Terdaftar")</f>
        <v>Terdaftar</v>
      </c>
      <c r="AC157" s="165" t="str">
        <f>IFERROR(__xludf.DUMMYFUNCTION("""COMPUTED_VALUE"""),"A00202304323")</f>
        <v>A00202304323</v>
      </c>
      <c r="AD157" s="165"/>
    </row>
    <row r="158" ht="15.75" customHeight="1">
      <c r="X158" s="217"/>
      <c r="AA158" s="165" t="str">
        <f>IFERROR(__xludf.DUMMYFUNCTION("""COMPUTED_VALUE"""),"Metode untuk Mendeteksi Kelainan Jantung dengan Memanfaatkan Sinyal Elektrik Jantung")</f>
        <v>Metode untuk Mendeteksi Kelainan Jantung dengan Memanfaatkan Sinyal Elektrik Jantung</v>
      </c>
      <c r="AB158" s="165" t="str">
        <f>IFERROR(__xludf.DUMMYFUNCTION("""COMPUTED_VALUE"""),"Terdaftar")</f>
        <v>Terdaftar</v>
      </c>
      <c r="AC158" s="165" t="str">
        <f>IFERROR(__xludf.DUMMYFUNCTION("""COMPUTED_VALUE"""),"P00202306902")</f>
        <v>P00202306902</v>
      </c>
      <c r="AD158" s="165"/>
    </row>
    <row r="159" ht="15.75" customHeight="1">
      <c r="X159" s="217"/>
      <c r="AA159" s="165" t="str">
        <f>IFERROR(__xludf.DUMMYFUNCTION("""COMPUTED_VALUE"""),"SONIK DC Charging Proxy")</f>
        <v>SONIK DC Charging Proxy</v>
      </c>
      <c r="AB159" s="165" t="str">
        <f>IFERROR(__xludf.DUMMYFUNCTION("""COMPUTED_VALUE"""),"Tersertifikasi")</f>
        <v>Tersertifikasi</v>
      </c>
      <c r="AC159" s="165" t="str">
        <f>IFERROR(__xludf.DUMMYFUNCTION("""COMPUTED_VALUE"""),"EC002022107221")</f>
        <v>EC002022107221</v>
      </c>
      <c r="AD159" s="165"/>
    </row>
    <row r="160" ht="15.75" customHeight="1">
      <c r="X160" s="217"/>
      <c r="AA160" s="165" t="str">
        <f>IFERROR(__xludf.DUMMYFUNCTION("""COMPUTED_VALUE"""),"Website SMART-DDR (Direct Digital Radiography) untuk MengklasifikasiI Tulang dan Keretakan Tulang")</f>
        <v>Website SMART-DDR (Direct Digital Radiography) untuk MengklasifikasiI Tulang dan Keretakan Tulang</v>
      </c>
      <c r="AB160" s="165" t="str">
        <f>IFERROR(__xludf.DUMMYFUNCTION("""COMPUTED_VALUE"""),"Tersertifikasi")</f>
        <v>Tersertifikasi</v>
      </c>
      <c r="AC160" s="165" t="str">
        <f>IFERROR(__xludf.DUMMYFUNCTION("""COMPUTED_VALUE"""),"EC002022107176")</f>
        <v>EC002022107176</v>
      </c>
      <c r="AD160" s="165"/>
    </row>
    <row r="161" ht="15.75" customHeight="1">
      <c r="X161" s="217"/>
      <c r="AA161" s="165" t="str">
        <f>IFERROR(__xludf.DUMMYFUNCTION("""COMPUTED_VALUE"""),"SONIK AC Charging Proxy")</f>
        <v>SONIK AC Charging Proxy</v>
      </c>
      <c r="AB161" s="165" t="str">
        <f>IFERROR(__xludf.DUMMYFUNCTION("""COMPUTED_VALUE"""),"Tersertifikasi")</f>
        <v>Tersertifikasi</v>
      </c>
      <c r="AC161" s="165" t="str">
        <f>IFERROR(__xludf.DUMMYFUNCTION("""COMPUTED_VALUE"""),"EC002022107171")</f>
        <v>EC002022107171</v>
      </c>
      <c r="AD161" s="165"/>
    </row>
    <row r="162" ht="15.75" customHeight="1">
      <c r="X162" s="217"/>
      <c r="AA162" s="165" t="str">
        <f>IFERROR(__xludf.DUMMYFUNCTION("""COMPUTED_VALUE"""),"SONIK R2 Charging Proxy")</f>
        <v>SONIK R2 Charging Proxy</v>
      </c>
      <c r="AB162" s="165" t="str">
        <f>IFERROR(__xludf.DUMMYFUNCTION("""COMPUTED_VALUE"""),"Tersertifikasi")</f>
        <v>Tersertifikasi</v>
      </c>
      <c r="AC162" s="165" t="str">
        <f>IFERROR(__xludf.DUMMYFUNCTION("""COMPUTED_VALUE"""),"EC00202270212")</f>
        <v>EC00202270212</v>
      </c>
      <c r="AD162" s="165"/>
    </row>
    <row r="163" ht="15.75" customHeight="1">
      <c r="X163" s="217"/>
      <c r="AA163" s="165" t="str">
        <f>IFERROR(__xludf.DUMMYFUNCTION("""COMPUTED_VALUE"""),"SISTEM, PERANGKAT AKUISISI DATA TELEMEDIS, DAN METODA UNTUK LAYANAN TELEMEDIS TERPADU")</f>
        <v>SISTEM, PERANGKAT AKUISISI DATA TELEMEDIS, DAN METODA UNTUK LAYANAN TELEMEDIS TERPADU</v>
      </c>
      <c r="AB163" s="165" t="str">
        <f>IFERROR(__xludf.DUMMYFUNCTION("""COMPUTED_VALUE"""),"Terdaftar")</f>
        <v>Terdaftar</v>
      </c>
      <c r="AC163" s="165" t="str">
        <f>IFERROR(__xludf.DUMMYFUNCTION("""COMPUTED_VALUE"""),"P00202215700")</f>
        <v>P00202215700</v>
      </c>
      <c r="AD163" s="165"/>
    </row>
    <row r="164" ht="15.75" customHeight="1">
      <c r="X164" s="217"/>
      <c r="AA164" s="165" t="str">
        <f>IFERROR(__xludf.DUMMYFUNCTION("""COMPUTED_VALUE"""),"ALAT PENGENDALI PENGISIAN KENDARAAN LISTRIK RODA EMPAT")</f>
        <v>ALAT PENGENDALI PENGISIAN KENDARAAN LISTRIK RODA EMPAT</v>
      </c>
      <c r="AB164" s="165" t="str">
        <f>IFERROR(__xludf.DUMMYFUNCTION("""COMPUTED_VALUE"""),"Terdaftar")</f>
        <v>Terdaftar</v>
      </c>
      <c r="AC164" s="165" t="str">
        <f>IFERROR(__xludf.DUMMYFUNCTION("""COMPUTED_VALUE"""),"P00202215294")</f>
        <v>P00202215294</v>
      </c>
      <c r="AD164" s="165"/>
    </row>
    <row r="165" ht="15.75" customHeight="1">
      <c r="X165" s="217"/>
      <c r="AA165" s="165" t="str">
        <f>IFERROR(__xludf.DUMMYFUNCTION("""COMPUTED_VALUE"""),"ALAT PENGGILING TEBU ROL BERLUBANG")</f>
        <v>ALAT PENGGILING TEBU ROL BERLUBANG</v>
      </c>
      <c r="AB165" s="165" t="str">
        <f>IFERROR(__xludf.DUMMYFUNCTION("""COMPUTED_VALUE"""),"Terdaftar")</f>
        <v>Terdaftar</v>
      </c>
      <c r="AC165" s="165" t="str">
        <f>IFERROR(__xludf.DUMMYFUNCTION("""COMPUTED_VALUE"""),"P00202309766")</f>
        <v>P00202309766</v>
      </c>
      <c r="AD165" s="165"/>
    </row>
    <row r="166" ht="15.75" customHeight="1">
      <c r="X166" s="217"/>
      <c r="AA166" s="165" t="str">
        <f>IFERROR(__xludf.DUMMYFUNCTION("""COMPUTED_VALUE"""),"ALAT DAN METODE PENGUKUR GAYA TOLAK MAGNETIS PADA PEMANEN ENERGI LISTRIK BERBASIS PUTARAN DENGAN TRANSDUSER PIEZOELEKTRIK")</f>
        <v>ALAT DAN METODE PENGUKUR GAYA TOLAK MAGNETIS PADA PEMANEN ENERGI LISTRIK BERBASIS PUTARAN DENGAN TRANSDUSER PIEZOELEKTRIK</v>
      </c>
      <c r="AB166" s="165" t="str">
        <f>IFERROR(__xludf.DUMMYFUNCTION("""COMPUTED_VALUE"""),"Terdaftar")</f>
        <v>Terdaftar</v>
      </c>
      <c r="AC166" s="165" t="str">
        <f>IFERROR(__xludf.DUMMYFUNCTION("""COMPUTED_VALUE"""),"P00202309743")</f>
        <v>P00202309743</v>
      </c>
      <c r="AD166" s="165"/>
    </row>
    <row r="167" ht="15.75" customHeight="1">
      <c r="X167" s="217"/>
      <c r="AA167" s="165" t="str">
        <f>IFERROR(__xludf.DUMMYFUNCTION("""COMPUTED_VALUE"""),"BOYA DENGAN PEREDAM AKTIF DAN PEMANCAR")</f>
        <v>BOYA DENGAN PEREDAM AKTIF DAN PEMANCAR</v>
      </c>
      <c r="AB167" s="165" t="str">
        <f>IFERROR(__xludf.DUMMYFUNCTION("""COMPUTED_VALUE"""),"Terdaftar")</f>
        <v>Terdaftar</v>
      </c>
      <c r="AC167" s="165" t="str">
        <f>IFERROR(__xludf.DUMMYFUNCTION("""COMPUTED_VALUE"""),"P00202311524")</f>
        <v>P00202311524</v>
      </c>
      <c r="AD167" s="165"/>
    </row>
    <row r="168" ht="15.75" customHeight="1">
      <c r="X168" s="217"/>
      <c r="AA168" s="165" t="str">
        <f>IFERROR(__xludf.DUMMYFUNCTION("""COMPUTED_VALUE"""),"Pemotong Rumput Elektrik")</f>
        <v>Pemotong Rumput Elektrik</v>
      </c>
      <c r="AB168" s="165" t="str">
        <f>IFERROR(__xludf.DUMMYFUNCTION("""COMPUTED_VALUE"""),"Terdaftar")</f>
        <v>Terdaftar</v>
      </c>
      <c r="AC168" s="165" t="str">
        <f>IFERROR(__xludf.DUMMYFUNCTION("""COMPUTED_VALUE"""),"A00202305244
")</f>
        <v>A00202305244
</v>
      </c>
      <c r="AD168" s="165"/>
    </row>
    <row r="169" ht="15.75" customHeight="1">
      <c r="X169" s="217"/>
      <c r="AA169" s="165" t="str">
        <f>IFERROR(__xludf.DUMMYFUNCTION("""COMPUTED_VALUE"""),"Suspensi")</f>
        <v>Suspensi</v>
      </c>
      <c r="AB169" s="165" t="str">
        <f>IFERROR(__xludf.DUMMYFUNCTION("""COMPUTED_VALUE"""),"Terdaftar")</f>
        <v>Terdaftar</v>
      </c>
      <c r="AC169" s="165" t="str">
        <f>IFERROR(__xludf.DUMMYFUNCTION("""COMPUTED_VALUE"""),"A00202204704
")</f>
        <v>A00202204704
</v>
      </c>
      <c r="AD169" s="165"/>
    </row>
    <row r="170" ht="15.75" customHeight="1">
      <c r="X170" s="217"/>
      <c r="AA170" s="165" t="str">
        <f>IFERROR(__xludf.DUMMYFUNCTION("""COMPUTED_VALUE"""),"PERANGKAT PENGKONDISI SINYAL PULSA DAN ECHO RADAR MENGGUNAKAN OP-AMP KECEPATAN TINGGI")</f>
        <v>PERANGKAT PENGKONDISI SINYAL PULSA DAN ECHO RADAR MENGGUNAKAN OP-AMP KECEPATAN TINGGI</v>
      </c>
      <c r="AB170" s="165" t="str">
        <f>IFERROR(__xludf.DUMMYFUNCTION("""COMPUTED_VALUE"""),"Terdaftar")</f>
        <v>Terdaftar</v>
      </c>
      <c r="AC170" s="165" t="str">
        <f>IFERROR(__xludf.DUMMYFUNCTION("""COMPUTED_VALUE"""),"P00202311343
")</f>
        <v>P00202311343
</v>
      </c>
      <c r="AD170" s="165"/>
    </row>
    <row r="171" ht="15.75" customHeight="1">
      <c r="X171" s="217"/>
      <c r="AA171" s="165" t="str">
        <f>IFERROR(__xludf.DUMMYFUNCTION("""COMPUTED_VALUE"""),"ALAT KENDALI DAN METODE TERDISTRIBUSI NIRKABEL PADA KENDARAAN LISTRIK OTONOM")</f>
        <v>ALAT KENDALI DAN METODE TERDISTRIBUSI NIRKABEL PADA KENDARAAN LISTRIK OTONOM</v>
      </c>
      <c r="AB171" s="165" t="str">
        <f>IFERROR(__xludf.DUMMYFUNCTION("""COMPUTED_VALUE"""),"Terdaftar")</f>
        <v>Terdaftar</v>
      </c>
      <c r="AC171" s="165" t="str">
        <f>IFERROR(__xludf.DUMMYFUNCTION("""COMPUTED_VALUE"""),"P00202310530
")</f>
        <v>P00202310530
</v>
      </c>
      <c r="AD171" s="165"/>
    </row>
    <row r="172" ht="15.75" customHeight="1">
      <c r="X172" s="217"/>
      <c r="AA172" s="165" t="str">
        <f>IFERROR(__xludf.DUMMYFUNCTION("""COMPUTED_VALUE"""),"ALAT PENDETEKSI KUALITAS BUAH DAN SAYURAN BERBASIS KAMERA")</f>
        <v>ALAT PENDETEKSI KUALITAS BUAH DAN SAYURAN BERBASIS KAMERA</v>
      </c>
      <c r="AB172" s="165" t="str">
        <f>IFERROR(__xludf.DUMMYFUNCTION("""COMPUTED_VALUE"""),"Terdaftar")</f>
        <v>Terdaftar</v>
      </c>
      <c r="AC172" s="165" t="str">
        <f>IFERROR(__xludf.DUMMYFUNCTION("""COMPUTED_VALUE"""),"P00202312306
")</f>
        <v>P00202312306
</v>
      </c>
      <c r="AD172" s="165"/>
    </row>
    <row r="173" ht="15.75" customHeight="1">
      <c r="X173" s="217"/>
      <c r="AA173" s="165" t="str">
        <f>IFERROR(__xludf.DUMMYFUNCTION("""COMPUTED_VALUE"""),"Alat Untuk Menambah Jarak Tempuh Kendaraan Hibrid")</f>
        <v>Alat Untuk Menambah Jarak Tempuh Kendaraan Hibrid</v>
      </c>
      <c r="AB173" s="165" t="str">
        <f>IFERROR(__xludf.DUMMYFUNCTION("""COMPUTED_VALUE"""),"Tersertifikasi")</f>
        <v>Tersertifikasi</v>
      </c>
      <c r="AC173" s="165" t="str">
        <f>IFERROR(__xludf.DUMMYFUNCTION("""COMPUTED_VALUE"""),"P00201703482
")</f>
        <v>P00201703482
</v>
      </c>
      <c r="AD173" s="165"/>
    </row>
    <row r="174" ht="15.75" customHeight="1">
      <c r="X174" s="217"/>
      <c r="AA174" s="165" t="str">
        <f>IFERROR(__xludf.DUMMYFUNCTION("""COMPUTED_VALUE"""),"Alat Pembuangan Udara pada Sistem Rem Hidrolik Kendaraan")</f>
        <v>Alat Pembuangan Udara pada Sistem Rem Hidrolik Kendaraan</v>
      </c>
      <c r="AB174" s="165" t="str">
        <f>IFERROR(__xludf.DUMMYFUNCTION("""COMPUTED_VALUE"""),"Terdaftar")</f>
        <v>Terdaftar</v>
      </c>
      <c r="AC174" s="165" t="str">
        <f>IFERROR(__xludf.DUMMYFUNCTION("""COMPUTED_VALUE"""),"P00202312292")</f>
        <v>P00202312292</v>
      </c>
      <c r="AD174" s="165"/>
    </row>
    <row r="175" ht="15.75" customHeight="1">
      <c r="X175" s="217"/>
      <c r="AA175" s="165" t="str">
        <f>IFERROR(__xludf.DUMMYFUNCTION("""COMPUTED_VALUE"""),"CCTV")</f>
        <v>CCTV</v>
      </c>
      <c r="AB175" s="165" t="str">
        <f>IFERROR(__xludf.DUMMYFUNCTION("""COMPUTED_VALUE"""),"Terdaftar")</f>
        <v>Terdaftar</v>
      </c>
      <c r="AC175" s="165" t="str">
        <f>IFERROR(__xludf.DUMMYFUNCTION("""COMPUTED_VALUE"""),"A00202204842")</f>
        <v>A00202204842</v>
      </c>
      <c r="AD175" s="165"/>
    </row>
    <row r="176" ht="15.75" customHeight="1">
      <c r="X176" s="217"/>
      <c r="AA176" s="165" t="str">
        <f>IFERROR(__xludf.DUMMYFUNCTION("""COMPUTED_VALUE"""),"METODE PENERJEMAHAN BAHASA ISYARAT INDONESIA BERBASIS ANALISIS DATA VIDEO")</f>
        <v>METODE PENERJEMAHAN BAHASA ISYARAT INDONESIA BERBASIS ANALISIS DATA VIDEO</v>
      </c>
      <c r="AB176" s="165" t="str">
        <f>IFERROR(__xludf.DUMMYFUNCTION("""COMPUTED_VALUE"""),"Tersertifikasi")</f>
        <v>Tersertifikasi</v>
      </c>
      <c r="AC176" s="165" t="str">
        <f>IFERROR(__xludf.DUMMYFUNCTION("""COMPUTED_VALUE"""),"P00202306955")</f>
        <v>P00202306955</v>
      </c>
      <c r="AD176" s="165"/>
    </row>
    <row r="177" ht="15.75" customHeight="1">
      <c r="X177" s="217"/>
      <c r="AA177" s="165"/>
      <c r="AB177" s="165"/>
      <c r="AC177" s="165"/>
      <c r="AD177" s="165"/>
    </row>
    <row r="178" ht="15.75" customHeight="1">
      <c r="X178" s="217"/>
      <c r="AA178" s="165"/>
      <c r="AB178" s="165"/>
      <c r="AC178" s="165"/>
      <c r="AD178" s="165"/>
    </row>
    <row r="179" ht="15.75" customHeight="1">
      <c r="X179" s="217"/>
      <c r="AA179" s="165"/>
      <c r="AB179" s="165"/>
      <c r="AC179" s="165"/>
      <c r="AD179" s="165"/>
    </row>
    <row r="180" ht="15.75" customHeight="1">
      <c r="X180" s="217"/>
      <c r="AA180" s="165"/>
      <c r="AB180" s="165"/>
      <c r="AC180" s="165"/>
      <c r="AD180" s="165"/>
    </row>
    <row r="181" ht="15.75" customHeight="1">
      <c r="X181" s="217"/>
      <c r="AA181" s="165"/>
      <c r="AB181" s="165"/>
      <c r="AC181" s="165"/>
      <c r="AD181" s="165"/>
    </row>
    <row r="182" ht="15.75" customHeight="1">
      <c r="X182" s="217"/>
      <c r="AA182" s="165"/>
      <c r="AB182" s="165"/>
      <c r="AC182" s="165"/>
      <c r="AD182" s="165"/>
    </row>
    <row r="183" ht="15.75" customHeight="1">
      <c r="X183" s="217"/>
      <c r="AA183" s="165"/>
      <c r="AB183" s="165"/>
      <c r="AC183" s="165"/>
      <c r="AD183" s="165"/>
    </row>
    <row r="184" ht="15.75" customHeight="1">
      <c r="X184" s="217"/>
      <c r="AA184" s="165"/>
      <c r="AB184" s="165"/>
      <c r="AC184" s="165"/>
      <c r="AD184" s="165"/>
    </row>
    <row r="185" ht="15.75" customHeight="1">
      <c r="X185" s="217"/>
      <c r="AA185" s="165"/>
      <c r="AB185" s="165"/>
      <c r="AC185" s="165"/>
      <c r="AD185" s="165"/>
    </row>
    <row r="186" ht="15.75" customHeight="1">
      <c r="X186" s="217"/>
      <c r="AA186" s="165"/>
      <c r="AB186" s="165"/>
      <c r="AC186" s="165"/>
      <c r="AD186" s="165"/>
    </row>
    <row r="187" ht="15.75" customHeight="1">
      <c r="X187" s="217"/>
      <c r="AA187" s="165"/>
      <c r="AB187" s="165"/>
      <c r="AC187" s="165"/>
      <c r="AD187" s="165"/>
    </row>
    <row r="188" ht="15.75" customHeight="1">
      <c r="X188" s="217"/>
      <c r="AA188" s="165"/>
      <c r="AB188" s="165"/>
      <c r="AC188" s="165"/>
      <c r="AD188" s="165"/>
    </row>
    <row r="189" ht="15.75" customHeight="1">
      <c r="X189" s="217"/>
      <c r="AA189" s="165"/>
      <c r="AB189" s="165"/>
      <c r="AC189" s="165"/>
      <c r="AD189" s="165"/>
    </row>
    <row r="190" ht="15.75" customHeight="1">
      <c r="X190" s="217"/>
      <c r="AA190" s="165"/>
      <c r="AB190" s="165"/>
      <c r="AC190" s="165"/>
      <c r="AD190" s="165"/>
    </row>
    <row r="191" ht="15.75" customHeight="1">
      <c r="X191" s="217"/>
      <c r="AA191" s="165"/>
      <c r="AB191" s="165"/>
      <c r="AC191" s="165"/>
      <c r="AD191" s="165"/>
    </row>
    <row r="192" ht="15.75" customHeight="1">
      <c r="X192" s="217"/>
      <c r="AA192" s="165"/>
      <c r="AB192" s="165"/>
      <c r="AC192" s="165"/>
      <c r="AD192" s="165"/>
    </row>
    <row r="193" ht="15.75" customHeight="1">
      <c r="X193" s="217"/>
      <c r="AA193" s="165"/>
      <c r="AB193" s="165"/>
      <c r="AC193" s="165"/>
      <c r="AD193" s="165"/>
    </row>
    <row r="194" ht="15.75" customHeight="1">
      <c r="X194" s="217"/>
      <c r="AA194" s="165"/>
      <c r="AB194" s="165"/>
      <c r="AC194" s="165"/>
      <c r="AD194" s="165"/>
    </row>
    <row r="195" ht="15.75" customHeight="1">
      <c r="X195" s="217"/>
      <c r="AA195" s="165"/>
      <c r="AB195" s="165"/>
      <c r="AC195" s="165"/>
      <c r="AD195" s="165"/>
    </row>
    <row r="196" ht="15.75" customHeight="1">
      <c r="X196" s="217"/>
      <c r="AA196" s="165"/>
      <c r="AB196" s="165"/>
      <c r="AC196" s="165"/>
      <c r="AD196" s="165"/>
    </row>
    <row r="197" ht="15.75" customHeight="1">
      <c r="X197" s="217"/>
      <c r="AA197" s="165"/>
      <c r="AB197" s="165"/>
      <c r="AC197" s="165"/>
      <c r="AD197" s="165"/>
    </row>
    <row r="198" ht="15.75" customHeight="1">
      <c r="X198" s="217"/>
      <c r="AA198" s="165"/>
      <c r="AB198" s="165"/>
      <c r="AC198" s="165"/>
      <c r="AD198" s="165"/>
    </row>
    <row r="199" ht="15.75" customHeight="1">
      <c r="X199" s="217"/>
      <c r="AA199" s="165"/>
      <c r="AB199" s="165"/>
      <c r="AC199" s="165"/>
      <c r="AD199" s="165"/>
    </row>
    <row r="200" ht="15.75" customHeight="1">
      <c r="X200" s="217"/>
      <c r="AA200" s="165"/>
      <c r="AB200" s="165"/>
      <c r="AC200" s="165"/>
      <c r="AD200" s="165"/>
    </row>
    <row r="201" ht="15.75" customHeight="1">
      <c r="X201" s="217"/>
      <c r="AA201" s="165"/>
      <c r="AB201" s="165"/>
      <c r="AC201" s="165"/>
      <c r="AD201" s="165"/>
    </row>
    <row r="202" ht="15.75" customHeight="1">
      <c r="X202" s="217"/>
      <c r="AA202" s="165"/>
      <c r="AB202" s="165"/>
      <c r="AC202" s="165"/>
      <c r="AD202" s="165"/>
    </row>
    <row r="203" ht="15.75" customHeight="1">
      <c r="X203" s="217"/>
      <c r="AA203" s="165"/>
      <c r="AB203" s="165"/>
      <c r="AC203" s="165"/>
      <c r="AD203" s="165"/>
    </row>
    <row r="204" ht="15.75" customHeight="1">
      <c r="X204" s="217"/>
      <c r="AA204" s="165"/>
      <c r="AB204" s="165"/>
      <c r="AC204" s="165"/>
      <c r="AD204" s="165"/>
    </row>
    <row r="205" ht="15.75" customHeight="1">
      <c r="X205" s="217"/>
      <c r="AA205" s="165"/>
      <c r="AB205" s="165"/>
      <c r="AC205" s="165"/>
      <c r="AD205" s="165"/>
    </row>
    <row r="206" ht="15.75" customHeight="1">
      <c r="X206" s="217"/>
      <c r="AA206" s="165"/>
      <c r="AB206" s="165"/>
      <c r="AC206" s="165"/>
      <c r="AD206" s="165"/>
    </row>
    <row r="207" ht="15.75" customHeight="1">
      <c r="X207" s="217"/>
      <c r="AA207" s="165"/>
      <c r="AB207" s="165"/>
      <c r="AC207" s="165"/>
      <c r="AD207" s="165"/>
    </row>
    <row r="208" ht="15.75" customHeight="1">
      <c r="X208" s="217"/>
      <c r="AA208" s="165"/>
      <c r="AB208" s="165"/>
      <c r="AC208" s="165"/>
      <c r="AD208" s="165"/>
    </row>
    <row r="209" ht="15.75" customHeight="1">
      <c r="X209" s="217"/>
      <c r="AA209" s="165"/>
      <c r="AB209" s="165"/>
      <c r="AC209" s="165"/>
      <c r="AD209" s="165"/>
    </row>
    <row r="210" ht="15.75" customHeight="1">
      <c r="X210" s="217"/>
      <c r="AA210" s="165"/>
      <c r="AB210" s="165"/>
      <c r="AC210" s="165"/>
      <c r="AD210" s="165"/>
    </row>
    <row r="211" ht="15.75" customHeight="1">
      <c r="X211" s="217"/>
      <c r="AA211" s="165"/>
      <c r="AB211" s="165"/>
      <c r="AC211" s="165"/>
      <c r="AD211" s="165"/>
    </row>
    <row r="212" ht="15.75" customHeight="1">
      <c r="X212" s="217"/>
      <c r="AA212" s="165"/>
      <c r="AB212" s="165"/>
      <c r="AC212" s="165"/>
      <c r="AD212" s="165"/>
    </row>
    <row r="213" ht="15.75" customHeight="1">
      <c r="X213" s="217"/>
      <c r="AA213" s="165"/>
      <c r="AB213" s="165"/>
      <c r="AC213" s="165"/>
      <c r="AD213" s="165"/>
    </row>
    <row r="214" ht="15.75" customHeight="1">
      <c r="X214" s="217"/>
      <c r="AA214" s="165"/>
      <c r="AB214" s="165"/>
      <c r="AC214" s="165"/>
      <c r="AD214" s="165"/>
    </row>
    <row r="215" ht="15.75" customHeight="1">
      <c r="X215" s="217"/>
      <c r="AA215" s="165"/>
      <c r="AB215" s="165"/>
      <c r="AC215" s="165"/>
      <c r="AD215" s="165"/>
    </row>
    <row r="216" ht="15.75" customHeight="1">
      <c r="X216" s="217"/>
      <c r="AA216" s="165"/>
      <c r="AB216" s="165"/>
      <c r="AC216" s="165"/>
      <c r="AD216" s="165"/>
    </row>
    <row r="217" ht="15.75" customHeight="1">
      <c r="X217" s="217"/>
      <c r="AA217" s="165"/>
      <c r="AB217" s="165"/>
      <c r="AC217" s="165"/>
      <c r="AD217" s="165"/>
    </row>
    <row r="218" ht="15.75" customHeight="1">
      <c r="X218" s="217"/>
      <c r="AA218" s="165"/>
      <c r="AB218" s="165"/>
      <c r="AC218" s="165"/>
      <c r="AD218" s="165"/>
    </row>
    <row r="219" ht="15.75" customHeight="1">
      <c r="X219" s="217"/>
      <c r="AA219" s="165"/>
      <c r="AB219" s="165"/>
      <c r="AC219" s="165"/>
      <c r="AD219" s="165"/>
    </row>
    <row r="220" ht="15.75" customHeight="1">
      <c r="X220" s="217"/>
      <c r="AA220" s="165"/>
      <c r="AB220" s="165"/>
      <c r="AC220" s="165"/>
      <c r="AD220" s="165"/>
    </row>
    <row r="221" ht="15.75" customHeight="1">
      <c r="X221" s="217"/>
      <c r="AA221" s="165"/>
      <c r="AB221" s="165"/>
      <c r="AC221" s="165"/>
      <c r="AD221" s="165"/>
    </row>
    <row r="222" ht="15.75" customHeight="1">
      <c r="X222" s="217"/>
      <c r="AA222" s="165"/>
      <c r="AB222" s="165"/>
      <c r="AC222" s="165"/>
      <c r="AD222" s="165"/>
    </row>
    <row r="223" ht="15.75" customHeight="1">
      <c r="X223" s="217"/>
      <c r="AA223" s="165"/>
      <c r="AB223" s="165"/>
      <c r="AC223" s="165"/>
      <c r="AD223" s="165"/>
    </row>
    <row r="224" ht="15.75" customHeight="1">
      <c r="X224" s="217"/>
      <c r="AA224" s="165"/>
      <c r="AB224" s="165"/>
      <c r="AC224" s="165"/>
      <c r="AD224" s="165"/>
    </row>
    <row r="225" ht="15.75" customHeight="1">
      <c r="X225" s="217"/>
      <c r="AA225" s="165"/>
      <c r="AB225" s="165"/>
      <c r="AC225" s="165"/>
      <c r="AD225" s="165"/>
    </row>
    <row r="226" ht="15.75" customHeight="1">
      <c r="X226" s="217"/>
      <c r="AA226" s="165"/>
      <c r="AB226" s="165"/>
      <c r="AC226" s="165"/>
      <c r="AD226" s="165"/>
    </row>
    <row r="227" ht="15.75" customHeight="1">
      <c r="X227" s="217"/>
      <c r="AA227" s="165"/>
      <c r="AB227" s="165"/>
      <c r="AC227" s="165"/>
      <c r="AD227" s="165"/>
    </row>
    <row r="228" ht="15.75" customHeight="1">
      <c r="X228" s="217"/>
      <c r="AA228" s="165"/>
      <c r="AB228" s="165"/>
      <c r="AC228" s="165"/>
      <c r="AD228" s="165"/>
    </row>
    <row r="229" ht="15.75" customHeight="1">
      <c r="X229" s="217"/>
      <c r="AA229" s="165"/>
      <c r="AB229" s="165"/>
      <c r="AC229" s="165"/>
      <c r="AD229" s="165"/>
    </row>
    <row r="230" ht="15.75" customHeight="1">
      <c r="X230" s="217"/>
      <c r="AA230" s="165"/>
      <c r="AB230" s="165"/>
      <c r="AC230" s="165"/>
      <c r="AD230" s="165"/>
    </row>
    <row r="231" ht="15.75" customHeight="1">
      <c r="X231" s="217"/>
      <c r="AA231" s="165"/>
      <c r="AB231" s="165"/>
      <c r="AC231" s="165"/>
      <c r="AD231" s="165"/>
    </row>
    <row r="232" ht="15.75" customHeight="1">
      <c r="X232" s="217"/>
      <c r="AA232" s="165"/>
      <c r="AB232" s="165"/>
      <c r="AC232" s="165"/>
      <c r="AD232" s="165"/>
    </row>
    <row r="233" ht="15.75" customHeight="1">
      <c r="X233" s="217"/>
      <c r="AA233" s="165"/>
      <c r="AB233" s="165"/>
      <c r="AC233" s="165"/>
      <c r="AD233" s="165"/>
    </row>
    <row r="234" ht="15.75" customHeight="1">
      <c r="X234" s="217"/>
      <c r="AA234" s="165"/>
      <c r="AB234" s="165"/>
      <c r="AC234" s="165"/>
      <c r="AD234" s="165"/>
    </row>
    <row r="235" ht="15.75" customHeight="1">
      <c r="X235" s="217"/>
      <c r="AA235" s="165"/>
      <c r="AB235" s="165"/>
      <c r="AC235" s="165"/>
      <c r="AD235" s="165"/>
    </row>
    <row r="236" ht="15.75" customHeight="1">
      <c r="X236" s="217"/>
      <c r="AA236" s="165"/>
      <c r="AB236" s="165"/>
      <c r="AC236" s="165"/>
      <c r="AD236" s="165"/>
    </row>
    <row r="237" ht="15.75" customHeight="1">
      <c r="X237" s="217"/>
      <c r="AA237" s="165"/>
      <c r="AB237" s="165"/>
      <c r="AC237" s="165"/>
      <c r="AD237" s="165"/>
    </row>
    <row r="238" ht="15.75" customHeight="1">
      <c r="X238" s="217"/>
      <c r="AA238" s="165"/>
      <c r="AB238" s="165"/>
      <c r="AC238" s="165"/>
      <c r="AD238" s="165"/>
    </row>
    <row r="239" ht="15.75" customHeight="1">
      <c r="X239" s="217"/>
      <c r="AA239" s="165"/>
      <c r="AB239" s="165"/>
      <c r="AC239" s="165"/>
      <c r="AD239" s="165"/>
    </row>
    <row r="240" ht="15.75" customHeight="1">
      <c r="X240" s="217"/>
      <c r="AA240" s="165"/>
      <c r="AB240" s="165"/>
      <c r="AC240" s="165"/>
      <c r="AD240" s="165"/>
    </row>
    <row r="241" ht="15.75" customHeight="1">
      <c r="X241" s="217"/>
      <c r="AA241" s="165"/>
      <c r="AB241" s="165"/>
      <c r="AC241" s="165"/>
      <c r="AD241" s="165"/>
    </row>
    <row r="242" ht="15.75" customHeight="1">
      <c r="X242" s="217"/>
      <c r="AA242" s="165"/>
      <c r="AB242" s="165"/>
      <c r="AC242" s="165"/>
      <c r="AD242" s="165"/>
    </row>
    <row r="243" ht="15.75" customHeight="1">
      <c r="X243" s="217"/>
      <c r="AA243" s="165"/>
      <c r="AB243" s="165"/>
      <c r="AC243" s="165"/>
      <c r="AD243" s="165"/>
    </row>
    <row r="244" ht="15.75" customHeight="1">
      <c r="X244" s="217"/>
      <c r="AA244" s="165"/>
      <c r="AB244" s="165"/>
      <c r="AC244" s="165"/>
      <c r="AD244" s="165"/>
    </row>
    <row r="245" ht="15.75" customHeight="1">
      <c r="X245" s="217"/>
      <c r="AA245" s="165"/>
      <c r="AB245" s="165"/>
      <c r="AC245" s="165"/>
      <c r="AD245" s="165"/>
    </row>
    <row r="246" ht="15.75" customHeight="1">
      <c r="X246" s="217"/>
      <c r="AA246" s="165"/>
      <c r="AB246" s="165"/>
      <c r="AC246" s="165"/>
      <c r="AD246" s="165"/>
    </row>
    <row r="247" ht="15.75" customHeight="1">
      <c r="X247" s="217"/>
      <c r="AA247" s="165"/>
      <c r="AB247" s="165"/>
      <c r="AC247" s="165"/>
      <c r="AD247" s="165"/>
    </row>
    <row r="248" ht="15.75" customHeight="1">
      <c r="X248" s="217"/>
      <c r="AA248" s="165"/>
      <c r="AB248" s="165"/>
      <c r="AC248" s="165"/>
      <c r="AD248" s="165"/>
    </row>
    <row r="249" ht="15.75" customHeight="1">
      <c r="X249" s="217"/>
      <c r="AA249" s="165"/>
      <c r="AB249" s="165"/>
      <c r="AC249" s="165"/>
      <c r="AD249" s="165"/>
    </row>
    <row r="250" ht="15.75" customHeight="1">
      <c r="X250" s="217"/>
      <c r="AA250" s="165"/>
      <c r="AB250" s="165"/>
      <c r="AC250" s="165"/>
      <c r="AD250" s="165"/>
    </row>
    <row r="251" ht="15.75" customHeight="1">
      <c r="X251" s="217"/>
      <c r="AA251" s="165"/>
      <c r="AB251" s="165"/>
      <c r="AC251" s="165"/>
      <c r="AD251" s="165"/>
    </row>
    <row r="252" ht="15.75" customHeight="1">
      <c r="X252" s="217"/>
      <c r="AA252" s="165"/>
      <c r="AB252" s="165"/>
      <c r="AC252" s="165"/>
      <c r="AD252" s="165"/>
    </row>
    <row r="253" ht="15.75" customHeight="1">
      <c r="X253" s="217"/>
      <c r="AA253" s="165"/>
      <c r="AB253" s="165"/>
      <c r="AC253" s="165"/>
      <c r="AD253" s="165"/>
    </row>
    <row r="254" ht="15.75" customHeight="1">
      <c r="X254" s="217"/>
      <c r="AA254" s="165"/>
      <c r="AB254" s="165"/>
      <c r="AC254" s="165"/>
      <c r="AD254" s="165"/>
    </row>
    <row r="255" ht="15.75" customHeight="1">
      <c r="X255" s="217"/>
      <c r="AA255" s="165"/>
      <c r="AB255" s="165"/>
      <c r="AC255" s="165"/>
      <c r="AD255" s="165"/>
    </row>
    <row r="256" ht="15.75" customHeight="1">
      <c r="X256" s="217"/>
      <c r="AA256" s="165"/>
      <c r="AB256" s="165"/>
      <c r="AC256" s="165"/>
      <c r="AD256" s="165"/>
    </row>
    <row r="257" ht="15.75" customHeight="1">
      <c r="X257" s="217"/>
      <c r="AA257" s="165"/>
      <c r="AB257" s="165"/>
      <c r="AC257" s="165"/>
      <c r="AD257" s="165"/>
    </row>
    <row r="258" ht="15.75" customHeight="1">
      <c r="X258" s="217"/>
      <c r="AA258" s="165"/>
      <c r="AB258" s="165"/>
      <c r="AC258" s="165"/>
      <c r="AD258" s="165"/>
    </row>
    <row r="259" ht="15.75" customHeight="1">
      <c r="X259" s="217"/>
      <c r="AA259" s="165"/>
      <c r="AB259" s="165"/>
      <c r="AC259" s="165"/>
      <c r="AD259" s="165"/>
    </row>
    <row r="260" ht="15.75" customHeight="1">
      <c r="X260" s="217"/>
      <c r="AA260" s="165"/>
      <c r="AB260" s="165"/>
      <c r="AC260" s="165"/>
      <c r="AD260" s="165"/>
    </row>
    <row r="261" ht="15.75" customHeight="1">
      <c r="X261" s="217"/>
      <c r="AA261" s="165"/>
      <c r="AB261" s="165"/>
      <c r="AC261" s="165"/>
      <c r="AD261" s="165"/>
    </row>
    <row r="262" ht="15.75" customHeight="1">
      <c r="X262" s="217"/>
      <c r="AA262" s="165"/>
      <c r="AB262" s="165"/>
      <c r="AC262" s="165"/>
      <c r="AD262" s="165"/>
    </row>
    <row r="263" ht="15.75" customHeight="1">
      <c r="X263" s="217"/>
      <c r="AA263" s="165"/>
      <c r="AB263" s="165"/>
      <c r="AC263" s="165"/>
      <c r="AD263" s="165"/>
    </row>
    <row r="264" ht="15.75" customHeight="1">
      <c r="X264" s="217"/>
      <c r="AA264" s="165"/>
      <c r="AB264" s="165"/>
      <c r="AC264" s="165"/>
      <c r="AD264" s="165"/>
    </row>
    <row r="265" ht="15.75" customHeight="1">
      <c r="X265" s="217"/>
      <c r="AA265" s="165"/>
      <c r="AB265" s="165"/>
      <c r="AC265" s="165"/>
      <c r="AD265" s="165"/>
    </row>
    <row r="266" ht="15.75" customHeight="1">
      <c r="X266" s="217"/>
      <c r="AA266" s="165"/>
      <c r="AB266" s="165"/>
      <c r="AC266" s="165"/>
      <c r="AD266" s="165"/>
    </row>
    <row r="267" ht="15.75" customHeight="1">
      <c r="X267" s="217"/>
      <c r="AA267" s="165"/>
      <c r="AB267" s="165"/>
      <c r="AC267" s="165"/>
      <c r="AD267" s="165"/>
    </row>
    <row r="268" ht="15.75" customHeight="1">
      <c r="X268" s="217"/>
      <c r="AA268" s="165"/>
      <c r="AB268" s="165"/>
      <c r="AC268" s="165"/>
      <c r="AD268" s="165"/>
    </row>
    <row r="269" ht="15.75" customHeight="1">
      <c r="X269" s="217"/>
      <c r="AA269" s="165"/>
      <c r="AB269" s="165"/>
      <c r="AC269" s="165"/>
      <c r="AD269" s="165"/>
    </row>
    <row r="270" ht="15.75" customHeight="1">
      <c r="X270" s="217"/>
      <c r="AA270" s="165"/>
      <c r="AB270" s="165"/>
      <c r="AC270" s="165"/>
      <c r="AD270" s="165"/>
    </row>
    <row r="271" ht="15.75" customHeight="1">
      <c r="X271" s="217"/>
      <c r="AA271" s="165"/>
      <c r="AB271" s="165"/>
      <c r="AC271" s="165"/>
      <c r="AD271" s="165"/>
    </row>
    <row r="272" ht="15.75" customHeight="1">
      <c r="X272" s="217"/>
      <c r="AA272" s="165"/>
      <c r="AB272" s="165"/>
      <c r="AC272" s="165"/>
      <c r="AD272" s="165"/>
    </row>
    <row r="273" ht="15.75" customHeight="1">
      <c r="X273" s="217"/>
      <c r="AA273" s="165"/>
      <c r="AB273" s="165"/>
      <c r="AC273" s="165"/>
      <c r="AD273" s="165"/>
    </row>
    <row r="274" ht="15.75" customHeight="1">
      <c r="X274" s="217"/>
      <c r="AA274" s="165"/>
      <c r="AB274" s="165"/>
      <c r="AC274" s="165"/>
      <c r="AD274" s="165"/>
    </row>
    <row r="275" ht="15.75" customHeight="1">
      <c r="X275" s="217"/>
      <c r="AA275" s="165"/>
      <c r="AB275" s="165"/>
      <c r="AC275" s="165"/>
      <c r="AD275" s="165"/>
    </row>
    <row r="276" ht="15.75" customHeight="1">
      <c r="X276" s="217"/>
      <c r="AA276" s="165"/>
      <c r="AB276" s="165"/>
      <c r="AC276" s="165"/>
      <c r="AD276" s="165"/>
    </row>
    <row r="277" ht="15.75" customHeight="1">
      <c r="X277" s="217"/>
      <c r="AA277" s="165"/>
      <c r="AB277" s="165"/>
      <c r="AC277" s="165"/>
      <c r="AD277" s="165"/>
    </row>
    <row r="278" ht="15.75" customHeight="1">
      <c r="X278" s="217"/>
      <c r="AA278" s="165"/>
      <c r="AB278" s="165"/>
      <c r="AC278" s="165"/>
      <c r="AD278" s="165"/>
    </row>
    <row r="279" ht="15.75" customHeight="1">
      <c r="X279" s="217"/>
      <c r="AA279" s="165"/>
      <c r="AB279" s="165"/>
      <c r="AC279" s="165"/>
      <c r="AD279" s="165"/>
    </row>
    <row r="280" ht="15.75" customHeight="1">
      <c r="X280" s="217"/>
      <c r="AA280" s="165"/>
      <c r="AB280" s="165"/>
      <c r="AC280" s="165"/>
      <c r="AD280" s="165"/>
    </row>
    <row r="281" ht="15.75" customHeight="1">
      <c r="X281" s="217"/>
      <c r="AA281" s="165"/>
      <c r="AB281" s="165"/>
      <c r="AC281" s="165"/>
      <c r="AD281" s="165"/>
    </row>
    <row r="282" ht="15.75" customHeight="1">
      <c r="X282" s="217"/>
      <c r="AA282" s="165"/>
      <c r="AB282" s="165"/>
      <c r="AC282" s="165"/>
      <c r="AD282" s="165"/>
    </row>
    <row r="283" ht="15.75" customHeight="1">
      <c r="X283" s="217"/>
      <c r="AA283" s="165"/>
      <c r="AB283" s="165"/>
      <c r="AC283" s="165"/>
      <c r="AD283" s="165"/>
    </row>
    <row r="284" ht="15.75" customHeight="1">
      <c r="X284" s="217"/>
      <c r="AA284" s="165"/>
      <c r="AB284" s="165"/>
      <c r="AC284" s="165"/>
      <c r="AD284" s="165"/>
    </row>
    <row r="285" ht="15.75" customHeight="1">
      <c r="X285" s="217"/>
      <c r="AA285" s="165"/>
      <c r="AB285" s="165"/>
      <c r="AC285" s="165"/>
      <c r="AD285" s="165"/>
    </row>
    <row r="286" ht="15.75" customHeight="1">
      <c r="X286" s="217"/>
      <c r="AA286" s="165"/>
      <c r="AB286" s="165"/>
      <c r="AC286" s="165"/>
      <c r="AD286" s="165"/>
    </row>
    <row r="287" ht="15.75" customHeight="1">
      <c r="X287" s="217"/>
      <c r="AA287" s="165"/>
      <c r="AB287" s="165"/>
      <c r="AC287" s="165"/>
      <c r="AD287" s="165"/>
    </row>
    <row r="288" ht="15.75" customHeight="1">
      <c r="X288" s="217"/>
      <c r="AA288" s="165"/>
      <c r="AB288" s="165"/>
      <c r="AC288" s="165"/>
      <c r="AD288" s="165"/>
    </row>
    <row r="289" ht="15.75" customHeight="1">
      <c r="X289" s="217"/>
      <c r="AA289" s="165"/>
      <c r="AB289" s="165"/>
      <c r="AC289" s="165"/>
      <c r="AD289" s="165"/>
    </row>
    <row r="290" ht="15.75" customHeight="1">
      <c r="X290" s="217"/>
      <c r="AA290" s="165"/>
      <c r="AB290" s="165"/>
      <c r="AC290" s="165"/>
      <c r="AD290" s="165"/>
    </row>
    <row r="291" ht="15.75" customHeight="1">
      <c r="X291" s="217"/>
      <c r="AA291" s="165"/>
      <c r="AB291" s="165"/>
      <c r="AC291" s="165"/>
      <c r="AD291" s="165"/>
    </row>
    <row r="292" ht="15.75" customHeight="1">
      <c r="X292" s="217"/>
      <c r="AA292" s="165"/>
      <c r="AB292" s="165"/>
      <c r="AC292" s="165"/>
      <c r="AD292" s="165"/>
    </row>
    <row r="293" ht="15.75" customHeight="1">
      <c r="X293" s="217"/>
      <c r="AA293" s="165"/>
      <c r="AB293" s="165"/>
      <c r="AC293" s="165"/>
      <c r="AD293" s="165"/>
    </row>
    <row r="294" ht="15.75" customHeight="1">
      <c r="X294" s="217"/>
      <c r="AA294" s="165"/>
      <c r="AB294" s="165"/>
      <c r="AC294" s="165"/>
      <c r="AD294" s="165"/>
    </row>
    <row r="295" ht="15.75" customHeight="1">
      <c r="X295" s="217"/>
      <c r="AA295" s="165"/>
      <c r="AB295" s="165"/>
      <c r="AC295" s="165"/>
      <c r="AD295" s="165"/>
    </row>
    <row r="296" ht="15.75" customHeight="1">
      <c r="X296" s="217"/>
      <c r="AA296" s="165"/>
      <c r="AB296" s="165"/>
      <c r="AC296" s="165"/>
      <c r="AD296" s="165"/>
    </row>
    <row r="297" ht="15.75" customHeight="1">
      <c r="X297" s="217"/>
      <c r="AA297" s="165"/>
      <c r="AB297" s="165"/>
      <c r="AC297" s="165"/>
      <c r="AD297" s="165"/>
    </row>
    <row r="298" ht="15.75" customHeight="1">
      <c r="X298" s="217"/>
      <c r="AA298" s="165"/>
      <c r="AB298" s="165"/>
      <c r="AC298" s="165"/>
      <c r="AD298" s="165"/>
    </row>
    <row r="299" ht="15.75" customHeight="1">
      <c r="X299" s="217"/>
      <c r="AA299" s="165"/>
      <c r="AB299" s="165"/>
      <c r="AC299" s="165"/>
      <c r="AD299" s="165"/>
    </row>
    <row r="300" ht="15.75" customHeight="1">
      <c r="X300" s="217"/>
      <c r="AA300" s="165"/>
      <c r="AB300" s="165"/>
      <c r="AC300" s="165"/>
      <c r="AD300" s="165"/>
    </row>
    <row r="301" ht="15.75" customHeight="1">
      <c r="X301" s="217"/>
      <c r="AA301" s="165"/>
      <c r="AB301" s="165"/>
      <c r="AC301" s="165"/>
      <c r="AD301" s="165"/>
    </row>
    <row r="302" ht="15.75" customHeight="1">
      <c r="X302" s="217"/>
      <c r="AA302" s="165"/>
      <c r="AB302" s="165"/>
      <c r="AC302" s="165"/>
      <c r="AD302" s="165"/>
    </row>
    <row r="303" ht="15.75" customHeight="1">
      <c r="X303" s="217"/>
      <c r="AA303" s="165"/>
      <c r="AB303" s="165"/>
      <c r="AC303" s="165"/>
      <c r="AD303" s="165"/>
    </row>
    <row r="304" ht="15.75" customHeight="1">
      <c r="X304" s="217"/>
      <c r="AA304" s="165"/>
      <c r="AB304" s="165"/>
      <c r="AC304" s="165"/>
      <c r="AD304" s="165"/>
    </row>
    <row r="305" ht="15.75" customHeight="1">
      <c r="X305" s="217"/>
      <c r="AA305" s="165"/>
      <c r="AB305" s="165"/>
      <c r="AC305" s="165"/>
      <c r="AD305" s="165"/>
    </row>
    <row r="306" ht="15.75" customHeight="1">
      <c r="X306" s="217"/>
      <c r="AA306" s="165"/>
      <c r="AB306" s="165"/>
      <c r="AC306" s="165"/>
      <c r="AD306" s="165"/>
    </row>
    <row r="307" ht="15.75" customHeight="1">
      <c r="X307" s="217"/>
      <c r="AA307" s="165"/>
      <c r="AB307" s="165"/>
      <c r="AC307" s="165"/>
      <c r="AD307" s="165"/>
    </row>
    <row r="308" ht="15.75" customHeight="1">
      <c r="X308" s="217"/>
      <c r="AA308" s="165"/>
      <c r="AB308" s="165"/>
      <c r="AC308" s="165"/>
      <c r="AD308" s="165"/>
    </row>
    <row r="309" ht="15.75" customHeight="1">
      <c r="X309" s="217"/>
      <c r="AA309" s="165"/>
      <c r="AB309" s="165"/>
      <c r="AC309" s="165"/>
      <c r="AD309" s="165"/>
    </row>
    <row r="310" ht="15.75" customHeight="1">
      <c r="X310" s="217"/>
      <c r="AA310" s="165"/>
      <c r="AB310" s="165"/>
      <c r="AC310" s="165"/>
      <c r="AD310" s="165"/>
    </row>
    <row r="311" ht="15.75" customHeight="1">
      <c r="X311" s="217"/>
      <c r="AA311" s="165"/>
      <c r="AB311" s="165"/>
      <c r="AC311" s="165"/>
      <c r="AD311" s="165"/>
    </row>
    <row r="312" ht="15.75" customHeight="1">
      <c r="X312" s="217"/>
      <c r="AA312" s="165"/>
      <c r="AB312" s="165"/>
      <c r="AC312" s="165"/>
      <c r="AD312" s="165"/>
    </row>
    <row r="313" ht="15.75" customHeight="1">
      <c r="X313" s="217"/>
      <c r="AA313" s="165"/>
      <c r="AB313" s="165"/>
      <c r="AC313" s="165"/>
      <c r="AD313" s="165"/>
    </row>
    <row r="314" ht="15.75" customHeight="1">
      <c r="X314" s="217"/>
      <c r="AA314" s="165"/>
      <c r="AB314" s="165"/>
      <c r="AC314" s="165"/>
      <c r="AD314" s="165"/>
    </row>
    <row r="315" ht="15.75" customHeight="1">
      <c r="X315" s="217"/>
      <c r="AA315" s="165"/>
      <c r="AB315" s="165"/>
      <c r="AC315" s="165"/>
      <c r="AD315" s="165"/>
    </row>
    <row r="316" ht="15.75" customHeight="1">
      <c r="X316" s="217"/>
      <c r="AA316" s="165"/>
      <c r="AB316" s="165"/>
      <c r="AC316" s="165"/>
      <c r="AD316" s="165"/>
    </row>
    <row r="317" ht="15.75" customHeight="1">
      <c r="X317" s="217"/>
      <c r="AA317" s="165"/>
      <c r="AB317" s="165"/>
      <c r="AC317" s="165"/>
      <c r="AD317" s="165"/>
    </row>
    <row r="318" ht="15.75" customHeight="1">
      <c r="X318" s="217"/>
      <c r="AA318" s="165"/>
      <c r="AB318" s="165"/>
      <c r="AC318" s="165"/>
      <c r="AD318" s="165"/>
    </row>
    <row r="319" ht="15.75" customHeight="1">
      <c r="X319" s="217"/>
      <c r="AA319" s="165"/>
      <c r="AB319" s="165"/>
      <c r="AC319" s="165"/>
      <c r="AD319" s="165"/>
    </row>
    <row r="320" ht="15.75" customHeight="1">
      <c r="X320" s="217"/>
      <c r="AA320" s="165"/>
      <c r="AB320" s="165"/>
      <c r="AC320" s="165"/>
      <c r="AD320" s="165"/>
    </row>
    <row r="321" ht="15.75" customHeight="1">
      <c r="X321" s="217"/>
      <c r="AA321" s="165"/>
      <c r="AB321" s="165"/>
      <c r="AC321" s="165"/>
      <c r="AD321" s="165"/>
    </row>
    <row r="322" ht="15.75" customHeight="1">
      <c r="X322" s="217"/>
      <c r="AA322" s="165"/>
      <c r="AB322" s="165"/>
      <c r="AC322" s="165"/>
      <c r="AD322" s="165"/>
    </row>
    <row r="323" ht="15.75" customHeight="1">
      <c r="X323" s="217"/>
      <c r="AA323" s="165"/>
      <c r="AB323" s="165"/>
      <c r="AC323" s="165"/>
      <c r="AD323" s="165"/>
    </row>
    <row r="324" ht="15.75" customHeight="1">
      <c r="X324" s="217"/>
      <c r="AA324" s="165"/>
      <c r="AB324" s="165"/>
      <c r="AC324" s="165"/>
      <c r="AD324" s="165"/>
    </row>
    <row r="325" ht="15.75" customHeight="1">
      <c r="X325" s="217"/>
      <c r="AA325" s="165"/>
      <c r="AB325" s="165"/>
      <c r="AC325" s="165"/>
      <c r="AD325" s="165"/>
    </row>
    <row r="326" ht="15.75" customHeight="1">
      <c r="X326" s="217"/>
      <c r="AA326" s="165"/>
      <c r="AB326" s="165"/>
      <c r="AC326" s="165"/>
      <c r="AD326" s="165"/>
    </row>
    <row r="327" ht="15.75" customHeight="1">
      <c r="X327" s="217"/>
      <c r="AA327" s="165"/>
      <c r="AB327" s="165"/>
      <c r="AC327" s="165"/>
      <c r="AD327" s="165"/>
    </row>
    <row r="328" ht="15.75" customHeight="1">
      <c r="X328" s="217"/>
      <c r="AA328" s="165"/>
      <c r="AB328" s="165"/>
      <c r="AC328" s="165"/>
      <c r="AD328" s="165"/>
    </row>
    <row r="329" ht="15.75" customHeight="1">
      <c r="X329" s="217"/>
      <c r="AA329" s="165"/>
      <c r="AB329" s="165"/>
      <c r="AC329" s="165"/>
      <c r="AD329" s="165"/>
    </row>
    <row r="330" ht="15.75" customHeight="1">
      <c r="X330" s="217"/>
      <c r="AA330" s="165"/>
      <c r="AB330" s="165"/>
      <c r="AC330" s="165"/>
      <c r="AD330" s="165"/>
    </row>
    <row r="331" ht="15.75" customHeight="1">
      <c r="X331" s="217"/>
      <c r="AA331" s="165"/>
      <c r="AB331" s="165"/>
      <c r="AC331" s="165"/>
      <c r="AD331" s="165"/>
    </row>
    <row r="332" ht="15.75" customHeight="1">
      <c r="X332" s="217"/>
      <c r="AA332" s="165"/>
      <c r="AB332" s="165"/>
      <c r="AC332" s="165"/>
      <c r="AD332" s="165"/>
    </row>
    <row r="333" ht="15.75" customHeight="1">
      <c r="X333" s="217"/>
      <c r="AA333" s="165"/>
      <c r="AB333" s="165"/>
      <c r="AC333" s="165"/>
      <c r="AD333" s="165"/>
    </row>
    <row r="334" ht="15.75" customHeight="1">
      <c r="X334" s="217"/>
      <c r="AA334" s="165"/>
      <c r="AB334" s="165"/>
      <c r="AC334" s="165"/>
      <c r="AD334" s="165"/>
    </row>
    <row r="335" ht="15.75" customHeight="1">
      <c r="X335" s="217"/>
      <c r="AA335" s="165"/>
      <c r="AB335" s="165"/>
      <c r="AC335" s="165"/>
      <c r="AD335" s="165"/>
    </row>
    <row r="336" ht="15.75" customHeight="1">
      <c r="X336" s="217"/>
      <c r="AA336" s="165"/>
      <c r="AB336" s="165"/>
      <c r="AC336" s="165"/>
      <c r="AD336" s="165"/>
    </row>
    <row r="337" ht="15.75" customHeight="1">
      <c r="X337" s="217"/>
      <c r="AA337" s="165"/>
      <c r="AB337" s="165"/>
      <c r="AC337" s="165"/>
      <c r="AD337" s="165"/>
    </row>
    <row r="338" ht="15.75" customHeight="1">
      <c r="X338" s="217"/>
      <c r="AA338" s="165"/>
      <c r="AB338" s="165"/>
      <c r="AC338" s="165"/>
      <c r="AD338" s="165"/>
    </row>
    <row r="339" ht="15.75" customHeight="1">
      <c r="X339" s="217"/>
      <c r="AA339" s="165"/>
      <c r="AB339" s="165"/>
      <c r="AC339" s="165"/>
      <c r="AD339" s="165"/>
    </row>
    <row r="340" ht="15.75" customHeight="1">
      <c r="X340" s="217"/>
      <c r="AA340" s="165"/>
      <c r="AB340" s="165"/>
      <c r="AC340" s="165"/>
      <c r="AD340" s="165"/>
    </row>
    <row r="341" ht="15.75" customHeight="1">
      <c r="X341" s="217"/>
      <c r="AA341" s="165"/>
      <c r="AB341" s="165"/>
      <c r="AC341" s="165"/>
      <c r="AD341" s="165"/>
    </row>
    <row r="342" ht="15.75" customHeight="1">
      <c r="X342" s="217"/>
      <c r="AA342" s="165"/>
      <c r="AB342" s="165"/>
      <c r="AC342" s="165"/>
      <c r="AD342" s="165"/>
    </row>
    <row r="343" ht="15.75" customHeight="1">
      <c r="X343" s="217"/>
      <c r="AA343" s="165"/>
      <c r="AB343" s="165"/>
      <c r="AC343" s="165"/>
      <c r="AD343" s="165"/>
    </row>
    <row r="344" ht="15.75" customHeight="1">
      <c r="X344" s="217"/>
      <c r="AA344" s="165"/>
      <c r="AB344" s="165"/>
      <c r="AC344" s="165"/>
      <c r="AD344" s="165"/>
    </row>
    <row r="345" ht="15.75" customHeight="1">
      <c r="X345" s="217"/>
      <c r="AA345" s="165"/>
      <c r="AB345" s="165"/>
      <c r="AC345" s="165"/>
      <c r="AD345" s="165"/>
    </row>
    <row r="346" ht="15.75" customHeight="1">
      <c r="X346" s="217"/>
      <c r="AA346" s="165"/>
      <c r="AB346" s="165"/>
      <c r="AC346" s="165"/>
      <c r="AD346" s="165"/>
    </row>
    <row r="347" ht="15.75" customHeight="1">
      <c r="X347" s="217"/>
      <c r="AA347" s="165"/>
      <c r="AB347" s="165"/>
      <c r="AC347" s="165"/>
      <c r="AD347" s="165"/>
    </row>
    <row r="348" ht="15.75" customHeight="1">
      <c r="X348" s="217"/>
      <c r="AA348" s="165"/>
      <c r="AB348" s="165"/>
      <c r="AC348" s="165"/>
      <c r="AD348" s="165"/>
    </row>
    <row r="349" ht="15.75" customHeight="1">
      <c r="X349" s="217"/>
      <c r="AA349" s="165"/>
      <c r="AB349" s="165"/>
      <c r="AC349" s="165"/>
      <c r="AD349" s="165"/>
    </row>
    <row r="350" ht="15.75" customHeight="1">
      <c r="X350" s="217"/>
      <c r="AA350" s="165"/>
      <c r="AB350" s="165"/>
      <c r="AC350" s="165"/>
      <c r="AD350" s="165"/>
    </row>
    <row r="351" ht="15.75" customHeight="1">
      <c r="X351" s="217"/>
      <c r="AA351" s="165"/>
      <c r="AB351" s="165"/>
      <c r="AC351" s="165"/>
      <c r="AD351" s="165"/>
    </row>
    <row r="352" ht="15.75" customHeight="1">
      <c r="X352" s="217"/>
      <c r="AA352" s="165"/>
      <c r="AB352" s="165"/>
      <c r="AC352" s="165"/>
      <c r="AD352" s="165"/>
    </row>
    <row r="353" ht="15.75" customHeight="1">
      <c r="X353" s="217"/>
      <c r="AA353" s="165"/>
      <c r="AB353" s="165"/>
      <c r="AC353" s="165"/>
      <c r="AD353" s="165"/>
    </row>
    <row r="354" ht="15.75" customHeight="1">
      <c r="X354" s="217"/>
      <c r="AA354" s="165"/>
      <c r="AB354" s="165"/>
      <c r="AC354" s="165"/>
      <c r="AD354" s="165"/>
    </row>
    <row r="355" ht="15.75" customHeight="1">
      <c r="X355" s="217"/>
      <c r="AA355" s="165"/>
      <c r="AB355" s="165"/>
      <c r="AC355" s="165"/>
      <c r="AD355" s="165"/>
    </row>
    <row r="356" ht="15.75" customHeight="1">
      <c r="X356" s="217"/>
      <c r="AA356" s="165"/>
      <c r="AB356" s="165"/>
      <c r="AC356" s="165"/>
      <c r="AD356" s="165"/>
    </row>
    <row r="357" ht="15.75" customHeight="1">
      <c r="X357" s="217"/>
      <c r="AA357" s="165"/>
      <c r="AB357" s="165"/>
      <c r="AC357" s="165"/>
      <c r="AD357" s="165"/>
    </row>
    <row r="358" ht="15.75" customHeight="1">
      <c r="X358" s="217"/>
      <c r="AA358" s="165"/>
      <c r="AB358" s="165"/>
      <c r="AC358" s="165"/>
      <c r="AD358" s="165"/>
    </row>
    <row r="359" ht="15.75" customHeight="1">
      <c r="X359" s="217"/>
      <c r="AA359" s="165"/>
      <c r="AB359" s="165"/>
      <c r="AC359" s="165"/>
      <c r="AD359" s="165"/>
    </row>
    <row r="360" ht="15.75" customHeight="1">
      <c r="X360" s="217"/>
      <c r="AA360" s="165"/>
      <c r="AB360" s="165"/>
      <c r="AC360" s="165"/>
      <c r="AD360" s="165"/>
    </row>
    <row r="361" ht="15.75" customHeight="1">
      <c r="X361" s="217"/>
      <c r="AA361" s="165"/>
      <c r="AB361" s="165"/>
      <c r="AC361" s="165"/>
      <c r="AD361" s="165"/>
    </row>
    <row r="362" ht="15.75" customHeight="1">
      <c r="X362" s="217"/>
      <c r="AA362" s="165"/>
      <c r="AB362" s="165"/>
      <c r="AC362" s="165"/>
      <c r="AD362" s="165"/>
    </row>
    <row r="363" ht="15.75" customHeight="1">
      <c r="X363" s="217"/>
      <c r="AA363" s="165"/>
      <c r="AB363" s="165"/>
      <c r="AC363" s="165"/>
      <c r="AD363" s="165"/>
    </row>
    <row r="364" ht="15.75" customHeight="1">
      <c r="X364" s="217"/>
      <c r="AA364" s="165"/>
      <c r="AB364" s="165"/>
      <c r="AC364" s="165"/>
      <c r="AD364" s="165"/>
    </row>
    <row r="365" ht="15.75" customHeight="1">
      <c r="X365" s="217"/>
      <c r="AA365" s="165"/>
      <c r="AB365" s="165"/>
      <c r="AC365" s="165"/>
      <c r="AD365" s="165"/>
    </row>
    <row r="366" ht="15.75" customHeight="1">
      <c r="X366" s="217"/>
      <c r="AA366" s="165"/>
      <c r="AB366" s="165"/>
      <c r="AC366" s="165"/>
      <c r="AD366" s="165"/>
    </row>
    <row r="367" ht="15.75" customHeight="1">
      <c r="X367" s="217"/>
      <c r="AA367" s="165"/>
      <c r="AB367" s="165"/>
      <c r="AC367" s="165"/>
      <c r="AD367" s="165"/>
    </row>
    <row r="368" ht="15.75" customHeight="1">
      <c r="X368" s="217"/>
      <c r="AA368" s="165"/>
      <c r="AB368" s="165"/>
      <c r="AC368" s="165"/>
      <c r="AD368" s="165"/>
    </row>
    <row r="369" ht="15.75" customHeight="1">
      <c r="X369" s="217"/>
      <c r="AA369" s="165"/>
      <c r="AB369" s="165"/>
      <c r="AC369" s="165"/>
      <c r="AD369" s="165"/>
    </row>
    <row r="370" ht="15.75" customHeight="1">
      <c r="X370" s="217"/>
      <c r="AA370" s="165"/>
      <c r="AB370" s="165"/>
      <c r="AC370" s="165"/>
      <c r="AD370" s="165"/>
    </row>
    <row r="371" ht="15.75" customHeight="1">
      <c r="X371" s="217"/>
      <c r="AA371" s="165"/>
      <c r="AB371" s="165"/>
      <c r="AC371" s="165"/>
      <c r="AD371" s="165"/>
    </row>
    <row r="372" ht="15.75" customHeight="1">
      <c r="X372" s="217"/>
      <c r="AA372" s="165"/>
      <c r="AB372" s="165"/>
      <c r="AC372" s="165"/>
      <c r="AD372" s="165"/>
    </row>
    <row r="373" ht="15.75" customHeight="1">
      <c r="X373" s="217"/>
      <c r="AA373" s="165"/>
      <c r="AB373" s="165"/>
      <c r="AC373" s="165"/>
      <c r="AD373" s="165"/>
    </row>
    <row r="374" ht="15.75" customHeight="1">
      <c r="X374" s="217"/>
      <c r="AA374" s="165"/>
      <c r="AB374" s="165"/>
      <c r="AC374" s="165"/>
      <c r="AD374" s="165"/>
    </row>
    <row r="375" ht="15.75" customHeight="1">
      <c r="X375" s="217"/>
      <c r="AA375" s="165"/>
      <c r="AB375" s="165"/>
      <c r="AC375" s="165"/>
      <c r="AD375" s="165"/>
    </row>
    <row r="376" ht="15.75" customHeight="1">
      <c r="X376" s="217"/>
      <c r="AA376" s="165"/>
      <c r="AB376" s="165"/>
      <c r="AC376" s="165"/>
      <c r="AD376" s="165"/>
    </row>
    <row r="377" ht="15.75" customHeight="1">
      <c r="X377" s="217"/>
      <c r="AA377" s="165"/>
      <c r="AB377" s="165"/>
      <c r="AC377" s="165"/>
      <c r="AD377" s="165"/>
    </row>
    <row r="378" ht="15.75" customHeight="1">
      <c r="X378" s="217"/>
      <c r="AA378" s="165"/>
      <c r="AB378" s="165"/>
      <c r="AC378" s="165"/>
      <c r="AD378" s="165"/>
    </row>
    <row r="379" ht="15.75" customHeight="1">
      <c r="X379" s="217"/>
      <c r="AA379" s="165"/>
      <c r="AB379" s="165"/>
      <c r="AC379" s="165"/>
      <c r="AD379" s="165"/>
    </row>
    <row r="380" ht="15.75" customHeight="1">
      <c r="X380" s="217"/>
      <c r="AA380" s="165"/>
      <c r="AB380" s="165"/>
      <c r="AC380" s="165"/>
      <c r="AD380" s="165"/>
    </row>
    <row r="381" ht="15.75" customHeight="1">
      <c r="X381" s="217"/>
      <c r="AA381" s="165"/>
      <c r="AB381" s="165"/>
      <c r="AC381" s="165"/>
      <c r="AD381" s="165"/>
    </row>
    <row r="382" ht="15.75" customHeight="1">
      <c r="X382" s="217"/>
      <c r="AA382" s="165"/>
      <c r="AB382" s="165"/>
      <c r="AC382" s="165"/>
      <c r="AD382" s="165"/>
    </row>
    <row r="383" ht="15.75" customHeight="1">
      <c r="X383" s="217"/>
      <c r="AA383" s="165"/>
      <c r="AB383" s="165"/>
      <c r="AC383" s="165"/>
      <c r="AD383" s="165"/>
    </row>
    <row r="384" ht="15.75" customHeight="1">
      <c r="X384" s="217"/>
      <c r="AA384" s="165"/>
      <c r="AB384" s="165"/>
      <c r="AC384" s="165"/>
      <c r="AD384" s="165"/>
    </row>
    <row r="385" ht="15.75" customHeight="1">
      <c r="X385" s="217"/>
      <c r="AA385" s="165"/>
      <c r="AB385" s="165"/>
      <c r="AC385" s="165"/>
      <c r="AD385" s="165"/>
    </row>
    <row r="386" ht="15.75" customHeight="1">
      <c r="X386" s="217"/>
      <c r="AA386" s="165"/>
      <c r="AB386" s="165"/>
      <c r="AC386" s="165"/>
      <c r="AD386" s="165"/>
    </row>
    <row r="387" ht="15.75" customHeight="1">
      <c r="X387" s="217"/>
      <c r="AA387" s="165"/>
      <c r="AB387" s="165"/>
      <c r="AC387" s="165"/>
      <c r="AD387" s="165"/>
    </row>
    <row r="388" ht="15.75" customHeight="1">
      <c r="X388" s="217"/>
      <c r="AA388" s="165"/>
      <c r="AB388" s="165"/>
      <c r="AC388" s="165"/>
      <c r="AD388" s="165"/>
    </row>
    <row r="389" ht="15.75" customHeight="1">
      <c r="X389" s="217"/>
      <c r="AA389" s="165"/>
      <c r="AB389" s="165"/>
      <c r="AC389" s="165"/>
      <c r="AD389" s="165"/>
    </row>
    <row r="390" ht="15.75" customHeight="1">
      <c r="X390" s="217"/>
      <c r="AA390" s="165"/>
      <c r="AB390" s="165"/>
      <c r="AC390" s="165"/>
      <c r="AD390" s="165"/>
    </row>
    <row r="391" ht="15.75" customHeight="1">
      <c r="X391" s="217"/>
      <c r="AA391" s="165"/>
      <c r="AB391" s="165"/>
      <c r="AC391" s="165"/>
      <c r="AD391" s="165"/>
    </row>
    <row r="392" ht="15.75" customHeight="1">
      <c r="X392" s="217"/>
      <c r="AA392" s="165"/>
      <c r="AB392" s="165"/>
      <c r="AC392" s="165"/>
      <c r="AD392" s="165"/>
    </row>
    <row r="393" ht="15.75" customHeight="1">
      <c r="X393" s="217"/>
      <c r="AA393" s="165"/>
      <c r="AB393" s="165"/>
      <c r="AC393" s="165"/>
      <c r="AD393" s="165"/>
    </row>
    <row r="394" ht="15.75" customHeight="1">
      <c r="X394" s="217"/>
      <c r="AA394" s="165"/>
      <c r="AB394" s="165"/>
      <c r="AC394" s="165"/>
      <c r="AD394" s="165"/>
    </row>
    <row r="395" ht="15.75" customHeight="1">
      <c r="X395" s="217"/>
      <c r="AA395" s="165"/>
      <c r="AB395" s="165"/>
      <c r="AC395" s="165"/>
      <c r="AD395" s="165"/>
    </row>
    <row r="396" ht="15.75" customHeight="1">
      <c r="X396" s="217"/>
      <c r="AA396" s="165"/>
      <c r="AB396" s="165"/>
      <c r="AC396" s="165"/>
      <c r="AD396" s="165"/>
    </row>
    <row r="397" ht="15.75" customHeight="1">
      <c r="X397" s="217"/>
      <c r="AA397" s="165"/>
      <c r="AB397" s="165"/>
      <c r="AC397" s="165"/>
      <c r="AD397" s="165"/>
    </row>
    <row r="398" ht="15.75" customHeight="1">
      <c r="X398" s="217"/>
      <c r="AA398" s="165"/>
      <c r="AB398" s="165"/>
      <c r="AC398" s="165"/>
      <c r="AD398" s="165"/>
    </row>
    <row r="399" ht="15.75" customHeight="1">
      <c r="X399" s="217"/>
      <c r="AA399" s="165"/>
      <c r="AB399" s="165"/>
      <c r="AC399" s="165"/>
      <c r="AD399" s="165"/>
    </row>
    <row r="400" ht="15.75" customHeight="1">
      <c r="X400" s="217"/>
      <c r="AA400" s="165"/>
      <c r="AB400" s="165"/>
      <c r="AC400" s="165"/>
      <c r="AD400" s="165"/>
    </row>
    <row r="401" ht="15.75" customHeight="1">
      <c r="X401" s="217"/>
      <c r="AA401" s="165"/>
      <c r="AB401" s="165"/>
      <c r="AC401" s="165"/>
      <c r="AD401" s="165"/>
    </row>
    <row r="402" ht="15.75" customHeight="1">
      <c r="X402" s="217"/>
      <c r="AA402" s="165"/>
      <c r="AB402" s="165"/>
      <c r="AC402" s="165"/>
      <c r="AD402" s="165"/>
    </row>
    <row r="403" ht="15.75" customHeight="1">
      <c r="X403" s="217"/>
      <c r="AA403" s="165"/>
      <c r="AB403" s="165"/>
      <c r="AC403" s="165"/>
      <c r="AD403" s="165"/>
    </row>
    <row r="404" ht="15.75" customHeight="1">
      <c r="X404" s="217"/>
      <c r="AA404" s="165"/>
      <c r="AB404" s="165"/>
      <c r="AC404" s="165"/>
      <c r="AD404" s="165"/>
    </row>
    <row r="405" ht="15.75" customHeight="1">
      <c r="X405" s="217"/>
      <c r="AA405" s="165"/>
      <c r="AB405" s="165"/>
      <c r="AC405" s="165"/>
      <c r="AD405" s="165"/>
    </row>
    <row r="406" ht="15.75" customHeight="1">
      <c r="X406" s="217"/>
      <c r="AA406" s="165"/>
      <c r="AB406" s="165"/>
      <c r="AC406" s="165"/>
      <c r="AD406" s="165"/>
    </row>
    <row r="407" ht="15.75" customHeight="1">
      <c r="X407" s="217"/>
      <c r="AA407" s="165"/>
      <c r="AB407" s="165"/>
      <c r="AC407" s="165"/>
      <c r="AD407" s="165"/>
    </row>
    <row r="408" ht="15.75" customHeight="1">
      <c r="X408" s="217"/>
      <c r="AA408" s="165"/>
      <c r="AB408" s="165"/>
      <c r="AC408" s="165"/>
      <c r="AD408" s="165"/>
    </row>
    <row r="409" ht="15.75" customHeight="1">
      <c r="X409" s="217"/>
      <c r="AA409" s="165"/>
      <c r="AB409" s="165"/>
      <c r="AC409" s="165"/>
      <c r="AD409" s="165"/>
    </row>
    <row r="410" ht="15.75" customHeight="1">
      <c r="X410" s="217"/>
      <c r="AA410" s="165"/>
      <c r="AB410" s="165"/>
      <c r="AC410" s="165"/>
      <c r="AD410" s="165"/>
    </row>
    <row r="411" ht="15.75" customHeight="1">
      <c r="X411" s="217"/>
      <c r="AA411" s="165"/>
      <c r="AB411" s="165"/>
      <c r="AC411" s="165"/>
      <c r="AD411" s="165"/>
    </row>
    <row r="412" ht="15.75" customHeight="1">
      <c r="X412" s="217"/>
      <c r="AA412" s="165"/>
      <c r="AB412" s="165"/>
      <c r="AC412" s="165"/>
      <c r="AD412" s="165"/>
    </row>
    <row r="413" ht="15.75" customHeight="1">
      <c r="X413" s="217"/>
      <c r="AA413" s="165"/>
      <c r="AB413" s="165"/>
      <c r="AC413" s="165"/>
      <c r="AD413" s="165"/>
    </row>
    <row r="414" ht="15.75" customHeight="1">
      <c r="X414" s="217"/>
      <c r="AA414" s="165"/>
      <c r="AB414" s="165"/>
      <c r="AC414" s="165"/>
      <c r="AD414" s="165"/>
    </row>
    <row r="415" ht="15.75" customHeight="1">
      <c r="X415" s="217"/>
      <c r="AA415" s="165"/>
      <c r="AB415" s="165"/>
      <c r="AC415" s="165"/>
      <c r="AD415" s="165"/>
    </row>
    <row r="416" ht="15.75" customHeight="1">
      <c r="X416" s="217"/>
      <c r="AA416" s="165"/>
      <c r="AB416" s="165"/>
      <c r="AC416" s="165"/>
      <c r="AD416" s="165"/>
    </row>
    <row r="417" ht="15.75" customHeight="1">
      <c r="X417" s="217"/>
      <c r="AA417" s="165"/>
      <c r="AB417" s="165"/>
      <c r="AC417" s="165"/>
      <c r="AD417" s="165"/>
    </row>
    <row r="418" ht="15.75" customHeight="1">
      <c r="X418" s="217"/>
      <c r="AA418" s="165"/>
      <c r="AB418" s="165"/>
      <c r="AC418" s="165"/>
      <c r="AD418" s="165"/>
    </row>
    <row r="419" ht="15.75" customHeight="1">
      <c r="X419" s="217"/>
      <c r="AA419" s="165"/>
      <c r="AB419" s="165"/>
      <c r="AC419" s="165"/>
      <c r="AD419" s="165"/>
    </row>
    <row r="420" ht="15.75" customHeight="1">
      <c r="X420" s="217"/>
      <c r="AA420" s="165"/>
      <c r="AB420" s="165"/>
      <c r="AC420" s="165"/>
      <c r="AD420" s="165"/>
    </row>
    <row r="421" ht="15.75" customHeight="1">
      <c r="X421" s="217"/>
      <c r="AA421" s="165"/>
      <c r="AB421" s="165"/>
      <c r="AC421" s="165"/>
      <c r="AD421" s="165"/>
    </row>
    <row r="422" ht="15.75" customHeight="1">
      <c r="X422" s="217"/>
      <c r="AA422" s="165"/>
      <c r="AB422" s="165"/>
      <c r="AC422" s="165"/>
      <c r="AD422" s="165"/>
    </row>
    <row r="423" ht="15.75" customHeight="1">
      <c r="X423" s="217"/>
      <c r="AA423" s="165"/>
      <c r="AB423" s="165"/>
      <c r="AC423" s="165"/>
      <c r="AD423" s="165"/>
    </row>
    <row r="424" ht="15.75" customHeight="1">
      <c r="X424" s="217"/>
      <c r="AA424" s="165"/>
      <c r="AB424" s="165"/>
      <c r="AC424" s="165"/>
      <c r="AD424" s="165"/>
    </row>
    <row r="425" ht="15.75" customHeight="1">
      <c r="X425" s="217"/>
      <c r="AA425" s="165"/>
      <c r="AB425" s="165"/>
      <c r="AC425" s="165"/>
      <c r="AD425" s="165"/>
    </row>
    <row r="426" ht="15.75" customHeight="1">
      <c r="X426" s="217"/>
      <c r="AA426" s="165"/>
      <c r="AB426" s="165"/>
      <c r="AC426" s="165"/>
      <c r="AD426" s="165"/>
    </row>
    <row r="427" ht="15.75" customHeight="1">
      <c r="X427" s="217"/>
      <c r="AA427" s="165"/>
      <c r="AB427" s="165"/>
      <c r="AC427" s="165"/>
      <c r="AD427" s="165"/>
    </row>
    <row r="428" ht="15.75" customHeight="1">
      <c r="X428" s="217"/>
      <c r="AA428" s="165"/>
      <c r="AB428" s="165"/>
      <c r="AC428" s="165"/>
      <c r="AD428" s="165"/>
    </row>
    <row r="429" ht="15.75" customHeight="1">
      <c r="X429" s="217"/>
      <c r="AA429" s="165"/>
      <c r="AB429" s="165"/>
      <c r="AC429" s="165"/>
      <c r="AD429" s="165"/>
    </row>
    <row r="430" ht="15.75" customHeight="1">
      <c r="X430" s="217"/>
      <c r="AA430" s="165"/>
      <c r="AB430" s="165"/>
      <c r="AC430" s="165"/>
      <c r="AD430" s="165"/>
    </row>
    <row r="431" ht="15.75" customHeight="1">
      <c r="X431" s="217"/>
      <c r="AA431" s="165"/>
      <c r="AB431" s="165"/>
      <c r="AC431" s="165"/>
      <c r="AD431" s="165"/>
    </row>
    <row r="432" ht="15.75" customHeight="1">
      <c r="X432" s="217"/>
      <c r="AA432" s="165"/>
      <c r="AB432" s="165"/>
      <c r="AC432" s="165"/>
      <c r="AD432" s="165"/>
    </row>
    <row r="433" ht="15.75" customHeight="1">
      <c r="X433" s="217"/>
      <c r="AA433" s="165"/>
      <c r="AB433" s="165"/>
      <c r="AC433" s="165"/>
      <c r="AD433" s="165"/>
    </row>
    <row r="434" ht="15.75" customHeight="1">
      <c r="X434" s="217"/>
      <c r="AA434" s="165"/>
      <c r="AB434" s="165"/>
      <c r="AC434" s="165"/>
      <c r="AD434" s="165"/>
    </row>
    <row r="435" ht="15.75" customHeight="1">
      <c r="X435" s="217"/>
      <c r="AA435" s="165"/>
      <c r="AB435" s="165"/>
      <c r="AC435" s="165"/>
      <c r="AD435" s="165"/>
    </row>
    <row r="436" ht="15.75" customHeight="1">
      <c r="X436" s="217"/>
      <c r="AA436" s="165"/>
      <c r="AB436" s="165"/>
      <c r="AC436" s="165"/>
      <c r="AD436" s="165"/>
    </row>
    <row r="437" ht="15.75" customHeight="1">
      <c r="X437" s="217"/>
      <c r="AA437" s="165"/>
      <c r="AB437" s="165"/>
      <c r="AC437" s="165"/>
      <c r="AD437" s="165"/>
    </row>
    <row r="438" ht="15.75" customHeight="1">
      <c r="X438" s="217"/>
      <c r="AA438" s="165"/>
      <c r="AB438" s="165"/>
      <c r="AC438" s="165"/>
      <c r="AD438" s="165"/>
    </row>
    <row r="439" ht="15.75" customHeight="1">
      <c r="X439" s="217"/>
      <c r="AA439" s="165"/>
      <c r="AB439" s="165"/>
      <c r="AC439" s="165"/>
      <c r="AD439" s="165"/>
    </row>
    <row r="440" ht="15.75" customHeight="1">
      <c r="X440" s="217"/>
      <c r="AA440" s="165"/>
      <c r="AB440" s="165"/>
      <c r="AC440" s="165"/>
      <c r="AD440" s="165"/>
    </row>
    <row r="441" ht="15.75" customHeight="1">
      <c r="X441" s="217"/>
      <c r="AA441" s="165"/>
      <c r="AB441" s="165"/>
      <c r="AC441" s="165"/>
      <c r="AD441" s="165"/>
    </row>
    <row r="442" ht="15.75" customHeight="1">
      <c r="X442" s="217"/>
      <c r="AA442" s="165"/>
      <c r="AB442" s="165"/>
      <c r="AC442" s="165"/>
      <c r="AD442" s="165"/>
    </row>
    <row r="443" ht="15.75" customHeight="1">
      <c r="X443" s="217"/>
    </row>
    <row r="444" ht="15.75" customHeight="1">
      <c r="X444" s="217"/>
    </row>
    <row r="445" ht="15.75" customHeight="1">
      <c r="X445" s="217"/>
    </row>
    <row r="446" ht="15.75" customHeight="1">
      <c r="X446" s="217"/>
    </row>
    <row r="447" ht="15.75" customHeight="1">
      <c r="X447" s="217"/>
    </row>
    <row r="448" ht="15.75" customHeight="1">
      <c r="X448" s="217"/>
    </row>
    <row r="449" ht="15.75" customHeight="1">
      <c r="X449" s="217"/>
    </row>
    <row r="450" ht="15.75" customHeight="1">
      <c r="X450" s="217"/>
    </row>
    <row r="451" ht="15.75" customHeight="1">
      <c r="X451" s="217"/>
    </row>
    <row r="452" ht="15.75" customHeight="1">
      <c r="X452" s="217"/>
    </row>
    <row r="453" ht="15.75" customHeight="1">
      <c r="X453" s="217"/>
    </row>
    <row r="454" ht="15.75" customHeight="1">
      <c r="X454" s="217"/>
    </row>
    <row r="455" ht="15.75" customHeight="1">
      <c r="X455" s="217"/>
    </row>
    <row r="456" ht="15.75" customHeight="1">
      <c r="X456" s="217"/>
    </row>
    <row r="457" ht="15.75" customHeight="1">
      <c r="X457" s="217"/>
    </row>
    <row r="458" ht="15.75" customHeight="1">
      <c r="X458" s="217"/>
    </row>
    <row r="459" ht="15.75" customHeight="1">
      <c r="X459" s="217"/>
    </row>
    <row r="460" ht="15.75" customHeight="1">
      <c r="X460" s="217"/>
    </row>
    <row r="461" ht="15.75" customHeight="1">
      <c r="X461" s="217"/>
    </row>
    <row r="462" ht="15.75" customHeight="1">
      <c r="X462" s="217"/>
    </row>
    <row r="463" ht="15.75" customHeight="1">
      <c r="X463" s="217"/>
    </row>
    <row r="464" ht="15.75" customHeight="1">
      <c r="X464" s="217"/>
    </row>
    <row r="465" ht="15.75" customHeight="1">
      <c r="X465" s="217"/>
    </row>
    <row r="466" ht="15.75" customHeight="1">
      <c r="X466" s="217"/>
    </row>
    <row r="467" ht="15.75" customHeight="1">
      <c r="X467" s="217"/>
    </row>
    <row r="468" ht="15.75" customHeight="1">
      <c r="X468" s="217"/>
    </row>
    <row r="469" ht="15.75" customHeight="1">
      <c r="X469" s="217"/>
    </row>
    <row r="470" ht="15.75" customHeight="1">
      <c r="X470" s="217"/>
    </row>
    <row r="471" ht="15.75" customHeight="1">
      <c r="X471" s="217"/>
    </row>
    <row r="472" ht="15.75" customHeight="1">
      <c r="X472" s="217"/>
    </row>
    <row r="473" ht="15.75" customHeight="1">
      <c r="X473" s="217"/>
    </row>
    <row r="474" ht="15.75" customHeight="1">
      <c r="X474" s="217"/>
    </row>
    <row r="475" ht="15.75" customHeight="1">
      <c r="X475" s="217"/>
    </row>
    <row r="476" ht="15.75" customHeight="1">
      <c r="X476" s="217"/>
    </row>
    <row r="477" ht="15.75" customHeight="1">
      <c r="X477" s="217"/>
    </row>
    <row r="478" ht="15.75" customHeight="1">
      <c r="X478" s="217"/>
    </row>
    <row r="479" ht="15.75" customHeight="1">
      <c r="X479" s="217"/>
    </row>
    <row r="480" ht="15.75" customHeight="1">
      <c r="X480" s="217"/>
    </row>
    <row r="481" ht="15.75" customHeight="1">
      <c r="X481" s="217"/>
    </row>
    <row r="482" ht="15.75" customHeight="1">
      <c r="X482" s="217"/>
    </row>
    <row r="483" ht="15.75" customHeight="1">
      <c r="X483" s="217"/>
    </row>
    <row r="484" ht="15.75" customHeight="1">
      <c r="X484" s="217"/>
    </row>
    <row r="485" ht="15.75" customHeight="1">
      <c r="X485" s="217"/>
    </row>
    <row r="486" ht="15.75" customHeight="1">
      <c r="X486" s="217"/>
    </row>
    <row r="487" ht="15.75" customHeight="1">
      <c r="X487" s="217"/>
    </row>
    <row r="488" ht="15.75" customHeight="1">
      <c r="X488" s="217"/>
    </row>
    <row r="489" ht="15.75" customHeight="1">
      <c r="X489" s="217"/>
    </row>
    <row r="490" ht="15.75" customHeight="1">
      <c r="X490" s="217"/>
    </row>
    <row r="491" ht="15.75" customHeight="1">
      <c r="X491" s="217"/>
    </row>
    <row r="492" ht="15.75" customHeight="1">
      <c r="X492" s="217"/>
    </row>
    <row r="493" ht="15.75" customHeight="1">
      <c r="X493" s="217"/>
    </row>
    <row r="494" ht="15.75" customHeight="1">
      <c r="X494" s="217"/>
    </row>
    <row r="495" ht="15.75" customHeight="1">
      <c r="X495" s="217"/>
    </row>
    <row r="496" ht="15.75" customHeight="1">
      <c r="X496" s="217"/>
    </row>
    <row r="497" ht="15.75" customHeight="1">
      <c r="X497" s="217"/>
    </row>
    <row r="498" ht="15.75" customHeight="1">
      <c r="X498" s="217"/>
    </row>
    <row r="499" ht="15.75" customHeight="1">
      <c r="X499" s="217"/>
    </row>
    <row r="500" ht="15.75" customHeight="1">
      <c r="X500" s="217"/>
    </row>
    <row r="501" ht="15.75" customHeight="1">
      <c r="X501" s="217"/>
    </row>
    <row r="502" ht="15.75" customHeight="1">
      <c r="X502" s="217"/>
    </row>
    <row r="503" ht="15.75" customHeight="1">
      <c r="X503" s="217"/>
    </row>
    <row r="504" ht="15.75" customHeight="1">
      <c r="X504" s="217"/>
    </row>
    <row r="505" ht="15.75" customHeight="1">
      <c r="X505" s="217"/>
    </row>
    <row r="506" ht="15.75" customHeight="1">
      <c r="X506" s="217"/>
    </row>
    <row r="507" ht="15.75" customHeight="1">
      <c r="X507" s="217"/>
    </row>
    <row r="508" ht="15.75" customHeight="1">
      <c r="X508" s="217"/>
    </row>
    <row r="509" ht="15.75" customHeight="1">
      <c r="X509" s="217"/>
    </row>
    <row r="510" ht="15.75" customHeight="1">
      <c r="X510" s="217"/>
    </row>
    <row r="511" ht="15.75" customHeight="1">
      <c r="X511" s="217"/>
    </row>
    <row r="512" ht="15.75" customHeight="1">
      <c r="X512" s="217"/>
    </row>
    <row r="513" ht="15.75" customHeight="1">
      <c r="X513" s="217"/>
    </row>
    <row r="514" ht="15.75" customHeight="1">
      <c r="X514" s="217"/>
    </row>
    <row r="515" ht="15.75" customHeight="1">
      <c r="X515" s="217"/>
    </row>
    <row r="516" ht="15.75" customHeight="1">
      <c r="X516" s="217"/>
    </row>
    <row r="517" ht="15.75" customHeight="1">
      <c r="X517" s="217"/>
    </row>
    <row r="518" ht="15.75" customHeight="1">
      <c r="X518" s="217"/>
    </row>
    <row r="519" ht="15.75" customHeight="1">
      <c r="X519" s="217"/>
    </row>
    <row r="520" ht="15.75" customHeight="1">
      <c r="X520" s="217"/>
    </row>
    <row r="521" ht="15.75" customHeight="1">
      <c r="X521" s="217"/>
    </row>
    <row r="522" ht="15.75" customHeight="1">
      <c r="X522" s="217"/>
    </row>
    <row r="523" ht="15.75" customHeight="1">
      <c r="X523" s="217"/>
    </row>
    <row r="524" ht="15.75" customHeight="1">
      <c r="X524" s="217"/>
    </row>
    <row r="525" ht="15.75" customHeight="1">
      <c r="X525" s="217"/>
    </row>
    <row r="526" ht="15.75" customHeight="1">
      <c r="X526" s="217"/>
    </row>
    <row r="527" ht="15.75" customHeight="1">
      <c r="X527" s="217"/>
    </row>
    <row r="528" ht="15.75" customHeight="1">
      <c r="X528" s="217"/>
    </row>
    <row r="529" ht="15.75" customHeight="1">
      <c r="X529" s="217"/>
    </row>
    <row r="530" ht="15.75" customHeight="1">
      <c r="X530" s="217"/>
    </row>
    <row r="531" ht="15.75" customHeight="1">
      <c r="X531" s="217"/>
    </row>
    <row r="532" ht="15.75" customHeight="1">
      <c r="X532" s="217"/>
    </row>
    <row r="533" ht="15.75" customHeight="1">
      <c r="X533" s="217"/>
    </row>
    <row r="534" ht="15.75" customHeight="1">
      <c r="X534" s="217"/>
    </row>
    <row r="535" ht="15.75" customHeight="1">
      <c r="X535" s="217"/>
    </row>
    <row r="536" ht="15.75" customHeight="1">
      <c r="X536" s="217"/>
    </row>
    <row r="537" ht="15.75" customHeight="1">
      <c r="X537" s="217"/>
    </row>
    <row r="538" ht="15.75" customHeight="1">
      <c r="X538" s="217"/>
    </row>
    <row r="539" ht="15.75" customHeight="1">
      <c r="X539" s="217"/>
    </row>
    <row r="540" ht="15.75" customHeight="1">
      <c r="X540" s="217"/>
    </row>
    <row r="541" ht="15.75" customHeight="1">
      <c r="X541" s="217"/>
    </row>
    <row r="542" ht="15.75" customHeight="1">
      <c r="X542" s="217"/>
    </row>
    <row r="543" ht="15.75" customHeight="1">
      <c r="X543" s="217"/>
    </row>
    <row r="544" ht="15.75" customHeight="1">
      <c r="X544" s="217"/>
    </row>
    <row r="545" ht="15.75" customHeight="1">
      <c r="X545" s="217"/>
    </row>
    <row r="546" ht="15.75" customHeight="1">
      <c r="X546" s="217"/>
    </row>
    <row r="547" ht="15.75" customHeight="1">
      <c r="X547" s="217"/>
    </row>
    <row r="548" ht="15.75" customHeight="1">
      <c r="X548" s="217"/>
    </row>
    <row r="549" ht="15.75" customHeight="1">
      <c r="X549" s="217"/>
    </row>
    <row r="550" ht="15.75" customHeight="1">
      <c r="X550" s="217"/>
    </row>
    <row r="551" ht="15.75" customHeight="1">
      <c r="X551" s="217"/>
    </row>
    <row r="552" ht="15.75" customHeight="1">
      <c r="X552" s="217"/>
    </row>
    <row r="553" ht="15.75" customHeight="1">
      <c r="X553" s="217"/>
    </row>
    <row r="554" ht="15.75" customHeight="1">
      <c r="X554" s="217"/>
    </row>
    <row r="555" ht="15.75" customHeight="1">
      <c r="X555" s="217"/>
    </row>
    <row r="556" ht="15.75" customHeight="1">
      <c r="X556" s="217"/>
    </row>
    <row r="557" ht="15.75" customHeight="1">
      <c r="X557" s="217"/>
    </row>
    <row r="558" ht="15.75" customHeight="1">
      <c r="X558" s="217"/>
    </row>
    <row r="559" ht="15.75" customHeight="1">
      <c r="X559" s="217"/>
    </row>
    <row r="560" ht="15.75" customHeight="1">
      <c r="X560" s="217"/>
    </row>
    <row r="561" ht="15.75" customHeight="1">
      <c r="X561" s="217"/>
    </row>
    <row r="562" ht="15.75" customHeight="1">
      <c r="X562" s="217"/>
    </row>
    <row r="563" ht="15.75" customHeight="1">
      <c r="X563" s="217"/>
    </row>
    <row r="564" ht="15.75" customHeight="1">
      <c r="X564" s="217"/>
    </row>
    <row r="565" ht="15.75" customHeight="1">
      <c r="X565" s="217"/>
    </row>
    <row r="566" ht="15.75" customHeight="1">
      <c r="X566" s="217"/>
    </row>
    <row r="567" ht="15.75" customHeight="1">
      <c r="X567" s="217"/>
    </row>
    <row r="568" ht="15.75" customHeight="1">
      <c r="X568" s="217"/>
    </row>
    <row r="569" ht="15.75" customHeight="1">
      <c r="X569" s="217"/>
    </row>
    <row r="570" ht="15.75" customHeight="1">
      <c r="X570" s="217"/>
    </row>
    <row r="571" ht="15.75" customHeight="1">
      <c r="X571" s="217"/>
    </row>
    <row r="572" ht="15.75" customHeight="1">
      <c r="X572" s="217"/>
    </row>
    <row r="573" ht="15.75" customHeight="1">
      <c r="X573" s="217"/>
    </row>
    <row r="574" ht="15.75" customHeight="1">
      <c r="X574" s="217"/>
    </row>
    <row r="575" ht="15.75" customHeight="1">
      <c r="X575" s="217"/>
    </row>
    <row r="576" ht="15.75" customHeight="1">
      <c r="X576" s="217"/>
    </row>
    <row r="577" ht="15.75" customHeight="1">
      <c r="X577" s="217"/>
    </row>
    <row r="578" ht="15.75" customHeight="1">
      <c r="X578" s="217"/>
    </row>
    <row r="579" ht="15.75" customHeight="1">
      <c r="X579" s="217"/>
    </row>
    <row r="580" ht="15.75" customHeight="1">
      <c r="X580" s="217"/>
    </row>
    <row r="581" ht="15.75" customHeight="1">
      <c r="X581" s="217"/>
    </row>
    <row r="582" ht="15.75" customHeight="1">
      <c r="X582" s="217"/>
    </row>
    <row r="583" ht="15.75" customHeight="1">
      <c r="X583" s="217"/>
    </row>
    <row r="584" ht="15.75" customHeight="1">
      <c r="X584" s="217"/>
    </row>
    <row r="585" ht="15.75" customHeight="1">
      <c r="X585" s="217"/>
    </row>
    <row r="586" ht="15.75" customHeight="1">
      <c r="X586" s="217"/>
    </row>
    <row r="587" ht="15.75" customHeight="1">
      <c r="X587" s="217"/>
    </row>
    <row r="588" ht="15.75" customHeight="1">
      <c r="X588" s="217"/>
    </row>
    <row r="589" ht="15.75" customHeight="1">
      <c r="X589" s="217"/>
    </row>
    <row r="590" ht="15.75" customHeight="1">
      <c r="X590" s="217"/>
    </row>
    <row r="591" ht="15.75" customHeight="1">
      <c r="X591" s="217"/>
    </row>
    <row r="592" ht="15.75" customHeight="1">
      <c r="X592" s="217"/>
    </row>
    <row r="593" ht="15.75" customHeight="1">
      <c r="X593" s="217"/>
    </row>
    <row r="594" ht="15.75" customHeight="1">
      <c r="X594" s="217"/>
    </row>
    <row r="595" ht="15.75" customHeight="1">
      <c r="X595" s="217"/>
    </row>
    <row r="596" ht="15.75" customHeight="1">
      <c r="X596" s="217"/>
    </row>
    <row r="597" ht="15.75" customHeight="1">
      <c r="X597" s="217"/>
    </row>
    <row r="598" ht="15.75" customHeight="1">
      <c r="X598" s="217"/>
    </row>
    <row r="599" ht="15.75" customHeight="1">
      <c r="X599" s="217"/>
    </row>
    <row r="600" ht="15.75" customHeight="1">
      <c r="X600" s="217"/>
    </row>
    <row r="601" ht="15.75" customHeight="1">
      <c r="X601" s="217"/>
    </row>
    <row r="602" ht="15.75" customHeight="1">
      <c r="X602" s="217"/>
    </row>
    <row r="603" ht="15.75" customHeight="1">
      <c r="X603" s="217"/>
    </row>
    <row r="604" ht="15.75" customHeight="1">
      <c r="X604" s="217"/>
    </row>
    <row r="605" ht="15.75" customHeight="1">
      <c r="X605" s="217"/>
    </row>
    <row r="606" ht="15.75" customHeight="1">
      <c r="X606" s="217"/>
    </row>
    <row r="607" ht="15.75" customHeight="1">
      <c r="X607" s="217"/>
    </row>
    <row r="608" ht="15.75" customHeight="1">
      <c r="X608" s="217"/>
    </row>
    <row r="609" ht="15.75" customHeight="1">
      <c r="X609" s="217"/>
    </row>
    <row r="610" ht="15.75" customHeight="1">
      <c r="X610" s="217"/>
    </row>
    <row r="611" ht="15.75" customHeight="1">
      <c r="X611" s="217"/>
    </row>
    <row r="612" ht="15.75" customHeight="1">
      <c r="X612" s="217"/>
    </row>
    <row r="613" ht="15.75" customHeight="1">
      <c r="X613" s="217"/>
    </row>
    <row r="614" ht="15.75" customHeight="1">
      <c r="X614" s="217"/>
    </row>
    <row r="615" ht="15.75" customHeight="1">
      <c r="X615" s="217"/>
    </row>
    <row r="616" ht="15.75" customHeight="1">
      <c r="X616" s="217"/>
    </row>
    <row r="617" ht="15.75" customHeight="1">
      <c r="X617" s="217"/>
    </row>
    <row r="618" ht="15.75" customHeight="1">
      <c r="X618" s="217"/>
    </row>
    <row r="619" ht="15.75" customHeight="1">
      <c r="X619" s="217"/>
    </row>
    <row r="620" ht="15.75" customHeight="1">
      <c r="X620" s="217"/>
    </row>
    <row r="621" ht="15.75" customHeight="1">
      <c r="X621" s="217"/>
    </row>
    <row r="622" ht="15.75" customHeight="1">
      <c r="X622" s="217"/>
    </row>
    <row r="623" ht="15.75" customHeight="1">
      <c r="X623" s="217"/>
    </row>
    <row r="624" ht="15.75" customHeight="1">
      <c r="X624" s="217"/>
    </row>
    <row r="625" ht="15.75" customHeight="1">
      <c r="X625" s="217"/>
    </row>
    <row r="626" ht="15.75" customHeight="1">
      <c r="X626" s="217"/>
    </row>
    <row r="627" ht="15.75" customHeight="1">
      <c r="X627" s="217"/>
    </row>
    <row r="628" ht="15.75" customHeight="1">
      <c r="X628" s="217"/>
    </row>
    <row r="629" ht="15.75" customHeight="1">
      <c r="X629" s="217"/>
    </row>
    <row r="630" ht="15.75" customHeight="1">
      <c r="X630" s="217"/>
    </row>
    <row r="631" ht="15.75" customHeight="1">
      <c r="X631" s="217"/>
    </row>
    <row r="632" ht="15.75" customHeight="1">
      <c r="X632" s="217"/>
    </row>
    <row r="633" ht="15.75" customHeight="1">
      <c r="X633" s="217"/>
    </row>
    <row r="634" ht="15.75" customHeight="1">
      <c r="X634" s="217"/>
    </row>
    <row r="635" ht="15.75" customHeight="1">
      <c r="X635" s="217"/>
    </row>
    <row r="636" ht="15.75" customHeight="1">
      <c r="X636" s="217"/>
    </row>
    <row r="637" ht="15.75" customHeight="1">
      <c r="X637" s="217"/>
    </row>
    <row r="638" ht="15.75" customHeight="1">
      <c r="X638" s="217"/>
    </row>
    <row r="639" ht="15.75" customHeight="1">
      <c r="X639" s="217"/>
    </row>
    <row r="640" ht="15.75" customHeight="1">
      <c r="X640" s="217"/>
    </row>
    <row r="641" ht="15.75" customHeight="1">
      <c r="X641" s="217"/>
    </row>
    <row r="642" ht="15.75" customHeight="1">
      <c r="X642" s="217"/>
    </row>
    <row r="643" ht="15.75" customHeight="1">
      <c r="X643" s="217"/>
    </row>
    <row r="644" ht="15.75" customHeight="1">
      <c r="X644" s="217"/>
    </row>
    <row r="645" ht="15.75" customHeight="1">
      <c r="X645" s="217"/>
    </row>
    <row r="646" ht="15.75" customHeight="1">
      <c r="X646" s="217"/>
    </row>
    <row r="647" ht="15.75" customHeight="1">
      <c r="X647" s="217"/>
    </row>
    <row r="648" ht="15.75" customHeight="1">
      <c r="X648" s="217"/>
    </row>
    <row r="649" ht="15.75" customHeight="1">
      <c r="X649" s="217"/>
    </row>
    <row r="650" ht="15.75" customHeight="1">
      <c r="X650" s="217"/>
    </row>
    <row r="651" ht="15.75" customHeight="1">
      <c r="X651" s="217"/>
    </row>
    <row r="652" ht="15.75" customHeight="1">
      <c r="X652" s="217"/>
    </row>
    <row r="653" ht="15.75" customHeight="1">
      <c r="X653" s="217"/>
    </row>
    <row r="654" ht="15.75" customHeight="1">
      <c r="X654" s="217"/>
    </row>
    <row r="655" ht="15.75" customHeight="1">
      <c r="X655" s="217"/>
    </row>
    <row r="656" ht="15.75" customHeight="1">
      <c r="X656" s="217"/>
    </row>
    <row r="657" ht="15.75" customHeight="1">
      <c r="X657" s="217"/>
    </row>
    <row r="658" ht="15.75" customHeight="1">
      <c r="X658" s="217"/>
    </row>
    <row r="659" ht="15.75" customHeight="1">
      <c r="X659" s="217"/>
    </row>
    <row r="660" ht="15.75" customHeight="1">
      <c r="X660" s="217"/>
    </row>
    <row r="661" ht="15.75" customHeight="1">
      <c r="X661" s="217"/>
    </row>
    <row r="662" ht="15.75" customHeight="1">
      <c r="X662" s="217"/>
    </row>
    <row r="663" ht="15.75" customHeight="1">
      <c r="X663" s="217"/>
    </row>
    <row r="664" ht="15.75" customHeight="1">
      <c r="X664" s="217"/>
    </row>
    <row r="665" ht="15.75" customHeight="1">
      <c r="X665" s="217"/>
    </row>
    <row r="666" ht="15.75" customHeight="1">
      <c r="X666" s="217"/>
    </row>
    <row r="667" ht="15.75" customHeight="1">
      <c r="X667" s="217"/>
    </row>
    <row r="668" ht="15.75" customHeight="1">
      <c r="X668" s="217"/>
    </row>
    <row r="669" ht="15.75" customHeight="1">
      <c r="X669" s="217"/>
    </row>
    <row r="670" ht="15.75" customHeight="1">
      <c r="X670" s="217"/>
    </row>
    <row r="671" ht="15.75" customHeight="1">
      <c r="X671" s="217"/>
    </row>
    <row r="672" ht="15.75" customHeight="1">
      <c r="X672" s="217"/>
    </row>
    <row r="673" ht="15.75" customHeight="1">
      <c r="X673" s="217"/>
    </row>
    <row r="674" ht="15.75" customHeight="1">
      <c r="X674" s="217"/>
    </row>
    <row r="675" ht="15.75" customHeight="1">
      <c r="X675" s="217"/>
    </row>
    <row r="676" ht="15.75" customHeight="1">
      <c r="X676" s="217"/>
    </row>
    <row r="677" ht="15.75" customHeight="1">
      <c r="X677" s="217"/>
    </row>
    <row r="678" ht="15.75" customHeight="1">
      <c r="X678" s="217"/>
    </row>
    <row r="679" ht="15.75" customHeight="1">
      <c r="X679" s="217"/>
    </row>
    <row r="680" ht="15.75" customHeight="1">
      <c r="X680" s="217"/>
    </row>
    <row r="681" ht="15.75" customHeight="1">
      <c r="X681" s="217"/>
    </row>
    <row r="682" ht="15.75" customHeight="1">
      <c r="X682" s="217"/>
    </row>
    <row r="683" ht="15.75" customHeight="1">
      <c r="X683" s="217"/>
    </row>
    <row r="684" ht="15.75" customHeight="1">
      <c r="X684" s="217"/>
    </row>
    <row r="685" ht="15.75" customHeight="1">
      <c r="X685" s="217"/>
    </row>
    <row r="686" ht="15.75" customHeight="1">
      <c r="X686" s="217"/>
    </row>
    <row r="687" ht="15.75" customHeight="1">
      <c r="X687" s="217"/>
    </row>
    <row r="688" ht="15.75" customHeight="1">
      <c r="X688" s="217"/>
    </row>
    <row r="689" ht="15.75" customHeight="1">
      <c r="X689" s="217"/>
    </row>
    <row r="690" ht="15.75" customHeight="1">
      <c r="X690" s="217"/>
    </row>
    <row r="691" ht="15.75" customHeight="1">
      <c r="X691" s="217"/>
    </row>
    <row r="692" ht="15.75" customHeight="1">
      <c r="X692" s="217"/>
    </row>
    <row r="693" ht="15.75" customHeight="1">
      <c r="X693" s="217"/>
    </row>
    <row r="694" ht="15.75" customHeight="1">
      <c r="X694" s="217"/>
    </row>
    <row r="695" ht="15.75" customHeight="1">
      <c r="X695" s="217"/>
    </row>
    <row r="696" ht="15.75" customHeight="1">
      <c r="X696" s="217"/>
    </row>
    <row r="697" ht="15.75" customHeight="1">
      <c r="X697" s="217"/>
    </row>
    <row r="698" ht="15.75" customHeight="1">
      <c r="X698" s="217"/>
    </row>
    <row r="699" ht="15.75" customHeight="1">
      <c r="X699" s="217"/>
    </row>
    <row r="700" ht="15.75" customHeight="1">
      <c r="X700" s="217"/>
    </row>
    <row r="701" ht="15.75" customHeight="1">
      <c r="X701" s="217"/>
    </row>
    <row r="702" ht="15.75" customHeight="1">
      <c r="X702" s="217"/>
    </row>
    <row r="703" ht="15.75" customHeight="1">
      <c r="X703" s="217"/>
    </row>
    <row r="704" ht="15.75" customHeight="1">
      <c r="X704" s="217"/>
    </row>
    <row r="705" ht="15.75" customHeight="1">
      <c r="X705" s="217"/>
    </row>
    <row r="706" ht="15.75" customHeight="1">
      <c r="X706" s="217"/>
    </row>
    <row r="707" ht="15.75" customHeight="1">
      <c r="X707" s="217"/>
    </row>
    <row r="708" ht="15.75" customHeight="1">
      <c r="X708" s="217"/>
    </row>
    <row r="709" ht="15.75" customHeight="1">
      <c r="X709" s="217"/>
    </row>
    <row r="710" ht="15.75" customHeight="1">
      <c r="X710" s="217"/>
    </row>
    <row r="711" ht="15.75" customHeight="1">
      <c r="X711" s="217"/>
    </row>
    <row r="712" ht="15.75" customHeight="1">
      <c r="X712" s="217"/>
    </row>
    <row r="713" ht="15.75" customHeight="1">
      <c r="X713" s="217"/>
    </row>
    <row r="714" ht="15.75" customHeight="1">
      <c r="X714" s="217"/>
    </row>
    <row r="715" ht="15.75" customHeight="1">
      <c r="X715" s="217"/>
    </row>
    <row r="716" ht="15.75" customHeight="1">
      <c r="X716" s="217"/>
    </row>
    <row r="717" ht="15.75" customHeight="1">
      <c r="X717" s="217"/>
    </row>
    <row r="718" ht="15.75" customHeight="1">
      <c r="X718" s="217"/>
    </row>
    <row r="719" ht="15.75" customHeight="1">
      <c r="X719" s="217"/>
    </row>
    <row r="720" ht="15.75" customHeight="1">
      <c r="X720" s="217"/>
    </row>
    <row r="721" ht="15.75" customHeight="1">
      <c r="X721" s="217"/>
    </row>
    <row r="722" ht="15.75" customHeight="1">
      <c r="X722" s="217"/>
    </row>
    <row r="723" ht="15.75" customHeight="1">
      <c r="X723" s="217"/>
    </row>
    <row r="724" ht="15.75" customHeight="1">
      <c r="X724" s="217"/>
    </row>
    <row r="725" ht="15.75" customHeight="1">
      <c r="X725" s="217"/>
    </row>
    <row r="726" ht="15.75" customHeight="1">
      <c r="X726" s="217"/>
    </row>
    <row r="727" ht="15.75" customHeight="1">
      <c r="X727" s="217"/>
    </row>
    <row r="728" ht="15.75" customHeight="1">
      <c r="X728" s="217"/>
    </row>
    <row r="729" ht="15.75" customHeight="1">
      <c r="X729" s="217"/>
    </row>
    <row r="730" ht="15.75" customHeight="1">
      <c r="X730" s="217"/>
    </row>
    <row r="731" ht="15.75" customHeight="1">
      <c r="X731" s="217"/>
    </row>
    <row r="732" ht="15.75" customHeight="1">
      <c r="X732" s="217"/>
    </row>
    <row r="733" ht="15.75" customHeight="1">
      <c r="X733" s="217"/>
    </row>
    <row r="734" ht="15.75" customHeight="1">
      <c r="X734" s="217"/>
    </row>
    <row r="735" ht="15.75" customHeight="1">
      <c r="X735" s="217"/>
    </row>
    <row r="736" ht="15.75" customHeight="1">
      <c r="X736" s="217"/>
    </row>
    <row r="737" ht="15.75" customHeight="1">
      <c r="X737" s="217"/>
    </row>
    <row r="738" ht="15.75" customHeight="1">
      <c r="X738" s="217"/>
    </row>
    <row r="739" ht="15.75" customHeight="1">
      <c r="X739" s="217"/>
    </row>
    <row r="740" ht="15.75" customHeight="1">
      <c r="X740" s="217"/>
    </row>
    <row r="741" ht="15.75" customHeight="1">
      <c r="X741" s="217"/>
    </row>
    <row r="742" ht="15.75" customHeight="1">
      <c r="X742" s="217"/>
    </row>
    <row r="743" ht="15.75" customHeight="1">
      <c r="X743" s="217"/>
    </row>
    <row r="744" ht="15.75" customHeight="1">
      <c r="X744" s="217"/>
    </row>
    <row r="745" ht="15.75" customHeight="1">
      <c r="X745" s="217"/>
    </row>
    <row r="746" ht="15.75" customHeight="1">
      <c r="X746" s="217"/>
    </row>
    <row r="747" ht="15.75" customHeight="1">
      <c r="X747" s="217"/>
    </row>
    <row r="748" ht="15.75" customHeight="1">
      <c r="X748" s="217"/>
    </row>
    <row r="749" ht="15.75" customHeight="1">
      <c r="X749" s="217"/>
    </row>
    <row r="750" ht="15.75" customHeight="1">
      <c r="X750" s="217"/>
    </row>
    <row r="751" ht="15.75" customHeight="1">
      <c r="X751" s="217"/>
    </row>
    <row r="752" ht="15.75" customHeight="1">
      <c r="X752" s="217"/>
    </row>
    <row r="753" ht="15.75" customHeight="1">
      <c r="X753" s="217"/>
    </row>
    <row r="754" ht="15.75" customHeight="1">
      <c r="X754" s="217"/>
    </row>
    <row r="755" ht="15.75" customHeight="1">
      <c r="X755" s="217"/>
    </row>
    <row r="756" ht="15.75" customHeight="1">
      <c r="X756" s="217"/>
    </row>
    <row r="757" ht="15.75" customHeight="1">
      <c r="X757" s="217"/>
    </row>
    <row r="758" ht="15.75" customHeight="1">
      <c r="X758" s="217"/>
    </row>
    <row r="759" ht="15.75" customHeight="1">
      <c r="X759" s="217"/>
    </row>
    <row r="760" ht="15.75" customHeight="1">
      <c r="X760" s="217"/>
    </row>
    <row r="761" ht="15.75" customHeight="1">
      <c r="X761" s="217"/>
    </row>
    <row r="762" ht="15.75" customHeight="1">
      <c r="X762" s="217"/>
    </row>
    <row r="763" ht="15.75" customHeight="1">
      <c r="X763" s="217"/>
    </row>
    <row r="764" ht="15.75" customHeight="1">
      <c r="X764" s="217"/>
    </row>
    <row r="765" ht="15.75" customHeight="1">
      <c r="X765" s="217"/>
    </row>
    <row r="766" ht="15.75" customHeight="1">
      <c r="X766" s="217"/>
    </row>
    <row r="767" ht="15.75" customHeight="1">
      <c r="X767" s="217"/>
    </row>
    <row r="768" ht="15.75" customHeight="1">
      <c r="X768" s="217"/>
    </row>
    <row r="769" ht="15.75" customHeight="1">
      <c r="X769" s="217"/>
    </row>
    <row r="770" ht="15.75" customHeight="1">
      <c r="X770" s="217"/>
    </row>
    <row r="771" ht="15.75" customHeight="1">
      <c r="X771" s="217"/>
    </row>
    <row r="772" ht="15.75" customHeight="1">
      <c r="X772" s="217"/>
    </row>
    <row r="773" ht="15.75" customHeight="1">
      <c r="X773" s="217"/>
    </row>
    <row r="774" ht="15.75" customHeight="1">
      <c r="X774" s="217"/>
    </row>
    <row r="775" ht="15.75" customHeight="1">
      <c r="X775" s="217"/>
    </row>
    <row r="776" ht="15.75" customHeight="1">
      <c r="X776" s="217"/>
    </row>
    <row r="777" ht="15.75" customHeight="1">
      <c r="X777" s="217"/>
    </row>
    <row r="778" ht="15.75" customHeight="1">
      <c r="X778" s="217"/>
    </row>
    <row r="779" ht="15.75" customHeight="1">
      <c r="X779" s="217"/>
    </row>
    <row r="780" ht="15.75" customHeight="1">
      <c r="X780" s="217"/>
    </row>
    <row r="781" ht="15.75" customHeight="1">
      <c r="X781" s="217"/>
    </row>
    <row r="782" ht="15.75" customHeight="1">
      <c r="X782" s="217"/>
    </row>
    <row r="783" ht="15.75" customHeight="1">
      <c r="X783" s="217"/>
    </row>
    <row r="784" ht="15.75" customHeight="1">
      <c r="X784" s="217"/>
    </row>
    <row r="785" ht="15.75" customHeight="1">
      <c r="X785" s="217"/>
    </row>
    <row r="786" ht="15.75" customHeight="1">
      <c r="X786" s="217"/>
    </row>
    <row r="787" ht="15.75" customHeight="1">
      <c r="X787" s="217"/>
    </row>
    <row r="788" ht="15.75" customHeight="1">
      <c r="X788" s="217"/>
    </row>
    <row r="789" ht="15.75" customHeight="1">
      <c r="X789" s="217"/>
    </row>
    <row r="790" ht="15.75" customHeight="1">
      <c r="X790" s="217"/>
    </row>
    <row r="791" ht="15.75" customHeight="1">
      <c r="X791" s="217"/>
    </row>
    <row r="792" ht="15.75" customHeight="1">
      <c r="X792" s="217"/>
    </row>
    <row r="793" ht="15.75" customHeight="1">
      <c r="X793" s="217"/>
    </row>
    <row r="794" ht="15.75" customHeight="1">
      <c r="X794" s="217"/>
    </row>
    <row r="795" ht="15.75" customHeight="1">
      <c r="X795" s="217"/>
    </row>
    <row r="796" ht="15.75" customHeight="1">
      <c r="X796" s="217"/>
    </row>
    <row r="797" ht="15.75" customHeight="1">
      <c r="X797" s="217"/>
    </row>
    <row r="798" ht="15.75" customHeight="1">
      <c r="X798" s="217"/>
    </row>
    <row r="799" ht="15.75" customHeight="1">
      <c r="X799" s="217"/>
    </row>
    <row r="800" ht="15.75" customHeight="1">
      <c r="X800" s="217"/>
    </row>
    <row r="801" ht="15.75" customHeight="1">
      <c r="X801" s="217"/>
    </row>
    <row r="802" ht="15.75" customHeight="1">
      <c r="X802" s="217"/>
    </row>
    <row r="803" ht="15.75" customHeight="1">
      <c r="X803" s="217"/>
    </row>
    <row r="804" ht="15.75" customHeight="1">
      <c r="X804" s="217"/>
    </row>
    <row r="805" ht="15.75" customHeight="1">
      <c r="X805" s="217"/>
    </row>
    <row r="806" ht="15.75" customHeight="1">
      <c r="X806" s="217"/>
    </row>
    <row r="807" ht="15.75" customHeight="1">
      <c r="X807" s="217"/>
    </row>
    <row r="808" ht="15.75" customHeight="1">
      <c r="X808" s="217"/>
    </row>
    <row r="809" ht="15.75" customHeight="1">
      <c r="X809" s="217"/>
    </row>
    <row r="810" ht="15.75" customHeight="1">
      <c r="X810" s="217"/>
    </row>
    <row r="811" ht="15.75" customHeight="1">
      <c r="X811" s="217"/>
    </row>
    <row r="812" ht="15.75" customHeight="1">
      <c r="X812" s="217"/>
    </row>
    <row r="813" ht="15.75" customHeight="1">
      <c r="X813" s="217"/>
    </row>
    <row r="814" ht="15.75" customHeight="1">
      <c r="X814" s="217"/>
    </row>
    <row r="815" ht="15.75" customHeight="1">
      <c r="X815" s="217"/>
    </row>
    <row r="816" ht="15.75" customHeight="1">
      <c r="X816" s="217"/>
    </row>
    <row r="817" ht="15.75" customHeight="1">
      <c r="X817" s="217"/>
    </row>
    <row r="818" ht="15.75" customHeight="1">
      <c r="X818" s="217"/>
    </row>
    <row r="819" ht="15.75" customHeight="1">
      <c r="X819" s="217"/>
    </row>
    <row r="820" ht="15.75" customHeight="1">
      <c r="X820" s="217"/>
    </row>
    <row r="821" ht="15.75" customHeight="1">
      <c r="X821" s="217"/>
    </row>
    <row r="822" ht="15.75" customHeight="1">
      <c r="X822" s="217"/>
    </row>
    <row r="823" ht="15.75" customHeight="1">
      <c r="X823" s="217"/>
    </row>
    <row r="824" ht="15.75" customHeight="1">
      <c r="X824" s="217"/>
    </row>
    <row r="825" ht="15.75" customHeight="1">
      <c r="X825" s="217"/>
    </row>
    <row r="826" ht="15.75" customHeight="1">
      <c r="X826" s="217"/>
    </row>
    <row r="827" ht="15.75" customHeight="1">
      <c r="X827" s="217"/>
    </row>
    <row r="828" ht="15.75" customHeight="1">
      <c r="X828" s="217"/>
    </row>
    <row r="829" ht="15.75" customHeight="1">
      <c r="X829" s="217"/>
    </row>
    <row r="830" ht="15.75" customHeight="1">
      <c r="X830" s="217"/>
    </row>
    <row r="831" ht="15.75" customHeight="1">
      <c r="X831" s="217"/>
    </row>
    <row r="832" ht="15.75" customHeight="1">
      <c r="X832" s="217"/>
    </row>
    <row r="833" ht="15.75" customHeight="1">
      <c r="X833" s="217"/>
    </row>
    <row r="834" ht="15.75" customHeight="1">
      <c r="X834" s="217"/>
    </row>
    <row r="835" ht="15.75" customHeight="1">
      <c r="X835" s="217"/>
    </row>
    <row r="836" ht="15.75" customHeight="1">
      <c r="X836" s="217"/>
    </row>
    <row r="837" ht="15.75" customHeight="1">
      <c r="X837" s="217"/>
    </row>
    <row r="838" ht="15.75" customHeight="1">
      <c r="X838" s="217"/>
    </row>
    <row r="839" ht="15.75" customHeight="1">
      <c r="X839" s="217"/>
    </row>
    <row r="840" ht="15.75" customHeight="1">
      <c r="X840" s="217"/>
    </row>
    <row r="841" ht="15.75" customHeight="1">
      <c r="X841" s="217"/>
    </row>
    <row r="842" ht="15.75" customHeight="1">
      <c r="X842" s="217"/>
    </row>
    <row r="843" ht="15.75" customHeight="1">
      <c r="X843" s="217"/>
    </row>
    <row r="844" ht="15.75" customHeight="1">
      <c r="X844" s="217"/>
    </row>
    <row r="845" ht="15.75" customHeight="1">
      <c r="X845" s="217"/>
    </row>
    <row r="846" ht="15.75" customHeight="1">
      <c r="X846" s="217"/>
    </row>
    <row r="847" ht="15.75" customHeight="1">
      <c r="X847" s="217"/>
    </row>
    <row r="848" ht="15.75" customHeight="1">
      <c r="X848" s="217"/>
    </row>
    <row r="849" ht="15.75" customHeight="1">
      <c r="X849" s="217"/>
    </row>
    <row r="850" ht="15.75" customHeight="1">
      <c r="X850" s="217"/>
    </row>
    <row r="851" ht="15.75" customHeight="1">
      <c r="X851" s="217"/>
    </row>
    <row r="852" ht="15.75" customHeight="1">
      <c r="X852" s="217"/>
    </row>
    <row r="853" ht="15.75" customHeight="1">
      <c r="X853" s="217"/>
    </row>
    <row r="854" ht="15.75" customHeight="1">
      <c r="X854" s="217"/>
    </row>
    <row r="855" ht="15.75" customHeight="1">
      <c r="X855" s="217"/>
    </row>
    <row r="856" ht="15.75" customHeight="1">
      <c r="X856" s="217"/>
    </row>
    <row r="857" ht="15.75" customHeight="1">
      <c r="X857" s="217"/>
    </row>
    <row r="858" ht="15.75" customHeight="1">
      <c r="X858" s="217"/>
    </row>
    <row r="859" ht="15.75" customHeight="1">
      <c r="X859" s="217"/>
    </row>
    <row r="860" ht="15.75" customHeight="1">
      <c r="X860" s="217"/>
    </row>
    <row r="861" ht="15.75" customHeight="1">
      <c r="X861" s="217"/>
    </row>
    <row r="862" ht="15.75" customHeight="1">
      <c r="X862" s="217"/>
    </row>
    <row r="863" ht="15.75" customHeight="1">
      <c r="X863" s="217"/>
    </row>
    <row r="864" ht="15.75" customHeight="1">
      <c r="X864" s="217"/>
    </row>
    <row r="865" ht="15.75" customHeight="1">
      <c r="X865" s="217"/>
    </row>
    <row r="866" ht="15.75" customHeight="1">
      <c r="X866" s="217"/>
    </row>
    <row r="867" ht="15.75" customHeight="1">
      <c r="X867" s="217"/>
    </row>
    <row r="868" ht="15.75" customHeight="1">
      <c r="X868" s="217"/>
    </row>
    <row r="869" ht="15.75" customHeight="1">
      <c r="X869" s="217"/>
    </row>
    <row r="870" ht="15.75" customHeight="1">
      <c r="X870" s="217"/>
    </row>
    <row r="871" ht="15.75" customHeight="1">
      <c r="X871" s="217"/>
    </row>
    <row r="872" ht="15.75" customHeight="1">
      <c r="X872" s="217"/>
    </row>
    <row r="873" ht="15.75" customHeight="1">
      <c r="X873" s="217"/>
    </row>
    <row r="874" ht="15.75" customHeight="1">
      <c r="X874" s="217"/>
    </row>
    <row r="875" ht="15.75" customHeight="1">
      <c r="X875" s="217"/>
    </row>
    <row r="876" ht="15.75" customHeight="1">
      <c r="X876" s="217"/>
    </row>
    <row r="877" ht="15.75" customHeight="1">
      <c r="X877" s="217"/>
    </row>
    <row r="878" ht="15.75" customHeight="1">
      <c r="X878" s="217"/>
    </row>
    <row r="879" ht="15.75" customHeight="1">
      <c r="X879" s="217"/>
    </row>
    <row r="880" ht="15.75" customHeight="1">
      <c r="X880" s="217"/>
    </row>
    <row r="881" ht="15.75" customHeight="1">
      <c r="X881" s="217"/>
    </row>
    <row r="882" ht="15.75" customHeight="1">
      <c r="X882" s="217"/>
    </row>
    <row r="883" ht="15.75" customHeight="1">
      <c r="X883" s="217"/>
    </row>
    <row r="884" ht="15.75" customHeight="1">
      <c r="X884" s="217"/>
    </row>
    <row r="885" ht="15.75" customHeight="1">
      <c r="X885" s="217"/>
    </row>
    <row r="886" ht="15.75" customHeight="1">
      <c r="X886" s="217"/>
    </row>
    <row r="887" ht="15.75" customHeight="1">
      <c r="X887" s="217"/>
    </row>
    <row r="888" ht="15.75" customHeight="1">
      <c r="X888" s="217"/>
    </row>
    <row r="889" ht="15.75" customHeight="1">
      <c r="X889" s="217"/>
    </row>
    <row r="890" ht="15.75" customHeight="1">
      <c r="X890" s="217"/>
    </row>
    <row r="891" ht="15.75" customHeight="1">
      <c r="X891" s="217"/>
    </row>
    <row r="892" ht="15.75" customHeight="1">
      <c r="X892" s="217"/>
    </row>
    <row r="893" ht="15.75" customHeight="1">
      <c r="X893" s="217"/>
    </row>
    <row r="894" ht="15.75" customHeight="1">
      <c r="X894" s="217"/>
    </row>
    <row r="895" ht="15.75" customHeight="1">
      <c r="X895" s="217"/>
    </row>
    <row r="896" ht="15.75" customHeight="1">
      <c r="X896" s="217"/>
    </row>
    <row r="897" ht="15.75" customHeight="1">
      <c r="X897" s="217"/>
    </row>
    <row r="898" ht="15.75" customHeight="1">
      <c r="X898" s="217"/>
    </row>
    <row r="899" ht="15.75" customHeight="1">
      <c r="X899" s="217"/>
    </row>
    <row r="900" ht="15.75" customHeight="1">
      <c r="X900" s="217"/>
    </row>
    <row r="901" ht="15.75" customHeight="1">
      <c r="X901" s="217"/>
    </row>
    <row r="902" ht="15.75" customHeight="1">
      <c r="X902" s="217"/>
    </row>
    <row r="903" ht="15.75" customHeight="1">
      <c r="X903" s="217"/>
    </row>
    <row r="904" ht="15.75" customHeight="1">
      <c r="X904" s="217"/>
    </row>
    <row r="905" ht="15.75" customHeight="1">
      <c r="X905" s="217"/>
    </row>
    <row r="906" ht="15.75" customHeight="1">
      <c r="X906" s="217"/>
    </row>
    <row r="907" ht="15.75" customHeight="1">
      <c r="X907" s="217"/>
    </row>
    <row r="908" ht="15.75" customHeight="1">
      <c r="X908" s="217"/>
    </row>
    <row r="909" ht="15.75" customHeight="1">
      <c r="X909" s="217"/>
    </row>
    <row r="910" ht="15.75" customHeight="1">
      <c r="X910" s="217"/>
    </row>
    <row r="911" ht="15.75" customHeight="1">
      <c r="X911" s="217"/>
    </row>
    <row r="912" ht="15.75" customHeight="1">
      <c r="X912" s="217"/>
    </row>
    <row r="913" ht="15.75" customHeight="1">
      <c r="X913" s="217"/>
    </row>
    <row r="914" ht="15.75" customHeight="1">
      <c r="X914" s="217"/>
    </row>
    <row r="915" ht="15.75" customHeight="1">
      <c r="X915" s="217"/>
    </row>
    <row r="916" ht="15.75" customHeight="1">
      <c r="X916" s="217"/>
    </row>
    <row r="917" ht="15.75" customHeight="1">
      <c r="X917" s="217"/>
    </row>
    <row r="918" ht="15.75" customHeight="1">
      <c r="X918" s="217"/>
    </row>
    <row r="919" ht="15.75" customHeight="1">
      <c r="X919" s="217"/>
    </row>
    <row r="920" ht="15.75" customHeight="1">
      <c r="X920" s="217"/>
    </row>
    <row r="921" ht="15.75" customHeight="1">
      <c r="X921" s="217"/>
    </row>
    <row r="922" ht="15.75" customHeight="1">
      <c r="X922" s="217"/>
    </row>
    <row r="923" ht="15.75" customHeight="1">
      <c r="X923" s="217"/>
    </row>
    <row r="924" ht="15.75" customHeight="1">
      <c r="X924" s="217"/>
    </row>
    <row r="925" ht="15.75" customHeight="1">
      <c r="X925" s="217"/>
    </row>
    <row r="926" ht="15.75" customHeight="1">
      <c r="X926" s="217"/>
    </row>
    <row r="927" ht="15.75" customHeight="1">
      <c r="X927" s="217"/>
    </row>
    <row r="928" ht="15.75" customHeight="1">
      <c r="X928" s="217"/>
    </row>
    <row r="929" ht="15.75" customHeight="1">
      <c r="X929" s="217"/>
    </row>
    <row r="930" ht="15.75" customHeight="1">
      <c r="X930" s="217"/>
    </row>
    <row r="931" ht="15.75" customHeight="1">
      <c r="X931" s="217"/>
    </row>
    <row r="932" ht="15.75" customHeight="1">
      <c r="X932" s="217"/>
    </row>
    <row r="933" ht="15.75" customHeight="1">
      <c r="X933" s="217"/>
    </row>
    <row r="934" ht="15.75" customHeight="1">
      <c r="X934" s="217"/>
    </row>
    <row r="935" ht="15.75" customHeight="1">
      <c r="X935" s="217"/>
    </row>
    <row r="936" ht="15.75" customHeight="1">
      <c r="X936" s="217"/>
    </row>
    <row r="937" ht="15.75" customHeight="1">
      <c r="X937" s="217"/>
    </row>
    <row r="938" ht="15.75" customHeight="1">
      <c r="X938" s="217"/>
    </row>
    <row r="939" ht="15.75" customHeight="1">
      <c r="X939" s="217"/>
    </row>
    <row r="940" ht="15.75" customHeight="1">
      <c r="X940" s="217"/>
    </row>
    <row r="941" ht="15.75" customHeight="1">
      <c r="X941" s="217"/>
    </row>
    <row r="942" ht="15.75" customHeight="1">
      <c r="X942" s="217"/>
    </row>
    <row r="943" ht="15.75" customHeight="1">
      <c r="X943" s="217"/>
    </row>
    <row r="944" ht="15.75" customHeight="1">
      <c r="X944" s="217"/>
    </row>
    <row r="945" ht="15.75" customHeight="1">
      <c r="X945" s="217"/>
    </row>
    <row r="946" ht="15.75" customHeight="1">
      <c r="X946" s="217"/>
    </row>
    <row r="947" ht="15.75" customHeight="1">
      <c r="X947" s="217"/>
    </row>
    <row r="948" ht="15.75" customHeight="1">
      <c r="X948" s="217"/>
    </row>
    <row r="949" ht="15.75" customHeight="1">
      <c r="X949" s="217"/>
    </row>
    <row r="950" ht="15.75" customHeight="1">
      <c r="X950" s="217"/>
    </row>
    <row r="951" ht="15.75" customHeight="1">
      <c r="X951" s="217"/>
    </row>
    <row r="952" ht="15.75" customHeight="1">
      <c r="X952" s="217"/>
    </row>
    <row r="953" ht="15.75" customHeight="1">
      <c r="X953" s="217"/>
    </row>
    <row r="954" ht="15.75" customHeight="1">
      <c r="X954" s="217"/>
    </row>
    <row r="955" ht="15.75" customHeight="1">
      <c r="X955" s="217"/>
    </row>
    <row r="956" ht="15.75" customHeight="1">
      <c r="X956" s="217"/>
    </row>
    <row r="957" ht="15.75" customHeight="1">
      <c r="X957" s="217"/>
    </row>
    <row r="958" ht="15.75" customHeight="1">
      <c r="X958" s="217"/>
    </row>
    <row r="959" ht="15.75" customHeight="1">
      <c r="X959" s="217"/>
    </row>
    <row r="960" ht="15.75" customHeight="1">
      <c r="X960" s="217"/>
    </row>
    <row r="961" ht="15.75" customHeight="1">
      <c r="X961" s="217"/>
    </row>
    <row r="962" ht="15.75" customHeight="1">
      <c r="X962" s="217"/>
    </row>
    <row r="963" ht="15.75" customHeight="1">
      <c r="X963" s="217"/>
    </row>
    <row r="964" ht="15.75" customHeight="1">
      <c r="X964" s="217"/>
    </row>
    <row r="965" ht="15.75" customHeight="1">
      <c r="X965" s="217"/>
    </row>
    <row r="966" ht="15.75" customHeight="1">
      <c r="X966" s="217"/>
    </row>
    <row r="967" ht="15.75" customHeight="1">
      <c r="X967" s="217"/>
    </row>
    <row r="968" ht="15.75" customHeight="1">
      <c r="X968" s="217"/>
    </row>
    <row r="969" ht="15.75" customHeight="1">
      <c r="X969" s="217"/>
    </row>
    <row r="970" ht="15.75" customHeight="1">
      <c r="X970" s="217"/>
    </row>
    <row r="971" ht="15.75" customHeight="1">
      <c r="X971" s="217"/>
    </row>
    <row r="972" ht="15.75" customHeight="1">
      <c r="X972" s="217"/>
    </row>
    <row r="973" ht="15.75" customHeight="1">
      <c r="X973" s="217"/>
    </row>
    <row r="974" ht="15.75" customHeight="1">
      <c r="X974" s="217"/>
    </row>
    <row r="975" ht="15.75" customHeight="1">
      <c r="X975" s="217"/>
    </row>
    <row r="976" ht="15.75" customHeight="1">
      <c r="X976" s="217"/>
    </row>
    <row r="977" ht="15.75" customHeight="1">
      <c r="X977" s="217"/>
    </row>
    <row r="978" ht="15.75" customHeight="1">
      <c r="X978" s="217"/>
    </row>
    <row r="979" ht="15.75" customHeight="1">
      <c r="X979" s="217"/>
    </row>
    <row r="980" ht="15.75" customHeight="1">
      <c r="X980" s="217"/>
    </row>
    <row r="981" ht="15.75" customHeight="1">
      <c r="X981" s="217"/>
    </row>
    <row r="982" ht="15.75" customHeight="1">
      <c r="X982" s="217"/>
    </row>
    <row r="983" ht="15.75" customHeight="1">
      <c r="X983" s="217"/>
    </row>
    <row r="984" ht="15.75" customHeight="1">
      <c r="X984" s="217"/>
    </row>
    <row r="985" ht="15.75" customHeight="1">
      <c r="X985" s="217"/>
    </row>
    <row r="986" ht="15.75" customHeight="1">
      <c r="X986" s="217"/>
    </row>
    <row r="987" ht="15.75" customHeight="1">
      <c r="X987" s="217"/>
    </row>
    <row r="988" ht="15.75" customHeight="1">
      <c r="X988" s="217"/>
    </row>
    <row r="989" ht="15.75" customHeight="1">
      <c r="X989" s="217"/>
    </row>
    <row r="990" ht="15.75" customHeight="1">
      <c r="X990" s="217"/>
    </row>
    <row r="991" ht="15.75" customHeight="1">
      <c r="X991" s="217"/>
    </row>
    <row r="992" ht="15.75" customHeight="1">
      <c r="X992" s="217"/>
    </row>
    <row r="993" ht="15.75" customHeight="1">
      <c r="X993" s="217"/>
    </row>
    <row r="994" ht="15.75" customHeight="1">
      <c r="X994" s="217"/>
    </row>
    <row r="995" ht="15.75" customHeight="1">
      <c r="X995" s="217"/>
    </row>
    <row r="996" ht="15.75" customHeight="1">
      <c r="X996" s="217"/>
    </row>
    <row r="997" ht="15.75" customHeight="1">
      <c r="X997" s="217"/>
    </row>
    <row r="998" ht="15.75" customHeight="1">
      <c r="X998" s="217"/>
    </row>
    <row r="999" ht="15.75" customHeight="1">
      <c r="X999" s="217"/>
    </row>
    <row r="1000" ht="15.75" customHeight="1">
      <c r="X1000" s="217"/>
    </row>
  </sheetData>
  <autoFilter ref="$B$5:$U$61">
    <filterColumn colId="1">
      <filters blank="1"/>
    </filterColumn>
  </autoFilter>
  <mergeCells count="7">
    <mergeCell ref="A1:Y3"/>
    <mergeCell ref="A4:D4"/>
    <mergeCell ref="E4:F4"/>
    <mergeCell ref="G4:N4"/>
    <mergeCell ref="R4:S4"/>
    <mergeCell ref="T4:U4"/>
    <mergeCell ref="V4:W4"/>
  </mergeCells>
  <conditionalFormatting sqref="T14">
    <cfRule type="expression" dxfId="1" priority="1">
      <formula>countif(R:R,T14)&gt;1</formula>
    </cfRule>
  </conditionalFormatting>
  <conditionalFormatting sqref="T14">
    <cfRule type="expression" dxfId="3" priority="2">
      <formula>AND(COUNTIF($R$6:R1050, T14) &gt; 0, (COUNTIF($AC:$AC, T14) &gt; 0) + (COUNTIF($AD:$AD, T14) &gt; 0))</formula>
    </cfRule>
  </conditionalFormatting>
  <conditionalFormatting sqref="E6:E70">
    <cfRule type="expression" dxfId="1" priority="3">
      <formula>countif(E:E,E6)&gt;1</formula>
    </cfRule>
  </conditionalFormatting>
  <conditionalFormatting sqref="E6:E70">
    <cfRule type="expression" dxfId="3" priority="4">
      <formula>AND(COUNTIF($E$6:E1042, E6) &gt; 0, COUNTIF($AA:$AA, E6) &gt; 0)</formula>
    </cfRule>
  </conditionalFormatting>
  <conditionalFormatting sqref="R6:R13 R15:R70">
    <cfRule type="expression" dxfId="1" priority="5">
      <formula>countif(R:R,R6)&gt;1</formula>
    </cfRule>
  </conditionalFormatting>
  <conditionalFormatting sqref="R6:R13 R15:R70">
    <cfRule type="expression" dxfId="3" priority="6">
      <formula>AND(COUNTIF($R$6:R1042, R6) &gt; 0, (COUNTIF($AC:$AC, R6) &gt; 0) + (COUNTIF($AD:$AD, R6) &gt; 0))</formula>
    </cfRule>
  </conditionalFormatting>
  <conditionalFormatting sqref="T6:T13 R13 T15:T70">
    <cfRule type="expression" dxfId="1" priority="7">
      <formula>countif(T:T,T6)&gt;1</formula>
    </cfRule>
  </conditionalFormatting>
  <conditionalFormatting sqref="T6:T13 R13 T15:T70">
    <cfRule type="expression" dxfId="3" priority="8">
      <formula>AND(COUNTIF($T$6:T1042, T6) &gt; 0, (COUNTIF($AC:$AC, T6) &gt; 0) + (COUNTIF($AD:$AD, T6) &gt; 0))</formula>
    </cfRule>
  </conditionalFormatting>
  <conditionalFormatting sqref="AA6:AA70">
    <cfRule type="expression" dxfId="3" priority="9">
      <formula>AND(COUNTIF($AA6:$AA1042, AA6) &gt; 0,  COUNTIF($E:E, AA6) &gt; 0)</formula>
    </cfRule>
  </conditionalFormatting>
  <conditionalFormatting sqref="AC6:AC70">
    <cfRule type="expression" dxfId="3" priority="10">
      <formula>AND(COUNTIF($AC:$AC, AC6) &gt; 0, (COUNTIF($R$6:R1042, AC6) &gt; 0) + (COUNTIF($T$6:T1042, AC6) &gt; 0))</formula>
    </cfRule>
  </conditionalFormatting>
  <conditionalFormatting sqref="AD6:AD70">
    <cfRule type="expression" dxfId="3" priority="11">
      <formula>AND(COUNTIF($AD:$AD, AD6) &gt; 0, (COUNTIF($R$6:R1042, AD6) &gt; 0) + (COUNTIF($T$6:T1042, AD6) &gt; 0))</formula>
    </cfRule>
  </conditionalFormatting>
  <dataValidations>
    <dataValidation type="custom" allowBlank="1" showDropDown="1" showInputMessage="1" prompt="Duplikasi!! judul yang anda masukkan sudah terdapat pada list sebelumnya" sqref="E6:E70">
      <formula1>countif($E$6:$E1042,E6)=1</formula1>
    </dataValidation>
    <dataValidation type="list" allowBlank="1" showInputMessage="1" showErrorMessage="1" prompt="Click and enter a value from range" sqref="P6:P70">
      <formula1>statki</formula1>
    </dataValidation>
    <dataValidation type="list" allowBlank="1" showErrorMessage="1" sqref="C6:C70">
      <formula1>periodestamp</formula1>
    </dataValidation>
    <dataValidation type="custom" allowBlank="1" showDropDown="1" sqref="S6:S34 U6:U49 S44:S70">
      <formula1>OR(NOT(ISERROR(DATEVALUE(S6))), AND(ISNUMBER(S6), LEFT(CELL("format", S6))="D"))</formula1>
    </dataValidation>
    <dataValidation type="list" allowBlank="1" showErrorMessage="1" sqref="F6:F70">
      <formula1>kelris</formula1>
    </dataValidation>
    <dataValidation type="list" allowBlank="1" showErrorMessage="1" sqref="G6:N70">
      <formula1>nmperiset</formula1>
    </dataValidation>
    <dataValidation type="list" allowBlank="1" showInputMessage="1" showErrorMessage="1" prompt=" - " sqref="Q6:Q70">
      <formula1>jnski</formula1>
    </dataValidation>
    <dataValidation type="list" allowBlank="1" showErrorMessage="1" sqref="W6:W70">
      <formula1>stsupload</formula1>
    </dataValidation>
    <dataValidation type="list" allowBlank="1" showDropDown="1" showErrorMessage="1" sqref="D6:D70">
      <formula1>statuskelris</formula1>
    </dataValidation>
  </dataValidations>
  <hyperlinks>
    <hyperlink r:id="rId1" ref="V6"/>
    <hyperlink r:id="rId2" ref="V7"/>
    <hyperlink r:id="rId3" ref="V8"/>
    <hyperlink r:id="rId4" ref="V9"/>
    <hyperlink r:id="rId5" ref="H10"/>
    <hyperlink r:id="rId6" ref="V10"/>
    <hyperlink r:id="rId7" ref="V11"/>
    <hyperlink r:id="rId8" ref="V12"/>
    <hyperlink r:id="rId9" ref="V13"/>
    <hyperlink r:id="rId10" ref="X13"/>
    <hyperlink r:id="rId11" ref="V14"/>
    <hyperlink r:id="rId12" ref="X14"/>
    <hyperlink r:id="rId13" ref="V15"/>
    <hyperlink r:id="rId14" ref="Y15"/>
    <hyperlink r:id="rId15" ref="V16"/>
    <hyperlink r:id="rId16" ref="K17"/>
    <hyperlink r:id="rId17" ref="V17"/>
    <hyperlink r:id="rId18" ref="V18"/>
    <hyperlink r:id="rId19" ref="K19"/>
    <hyperlink r:id="rId20" ref="V19"/>
    <hyperlink r:id="rId21" ref="V20"/>
    <hyperlink r:id="rId22" ref="J21"/>
    <hyperlink r:id="rId23" ref="V21"/>
    <hyperlink r:id="rId24" ref="G22"/>
    <hyperlink r:id="rId25" ref="V22"/>
    <hyperlink r:id="rId26" ref="X22"/>
    <hyperlink r:id="rId27" ref="V23"/>
    <hyperlink r:id="rId28" ref="M24"/>
    <hyperlink r:id="rId29" ref="V24"/>
    <hyperlink r:id="rId30" ref="V25"/>
    <hyperlink r:id="rId31" ref="X25"/>
    <hyperlink r:id="rId32" ref="V26"/>
    <hyperlink r:id="rId33" ref="V27"/>
    <hyperlink r:id="rId34" ref="V28"/>
    <hyperlink r:id="rId35" ref="V29"/>
    <hyperlink r:id="rId36" ref="V30"/>
    <hyperlink r:id="rId37" ref="V31"/>
    <hyperlink r:id="rId38" ref="V32"/>
    <hyperlink r:id="rId39" ref="V33"/>
    <hyperlink r:id="rId40" ref="V34"/>
    <hyperlink r:id="rId41" ref="V35"/>
    <hyperlink r:id="rId42" ref="V36"/>
    <hyperlink r:id="rId43" ref="V37"/>
    <hyperlink r:id="rId44" ref="V38"/>
    <hyperlink r:id="rId45" ref="V39"/>
    <hyperlink r:id="rId46" ref="V40"/>
    <hyperlink r:id="rId47" ref="V41"/>
    <hyperlink r:id="rId48" ref="V42"/>
    <hyperlink r:id="rId49" ref="V43"/>
    <hyperlink r:id="rId50" ref="V44"/>
    <hyperlink r:id="rId51" ref="V45"/>
    <hyperlink r:id="rId52" ref="V46"/>
    <hyperlink r:id="rId53" ref="V47"/>
    <hyperlink r:id="rId54" ref="V48"/>
    <hyperlink r:id="rId55" ref="V49"/>
    <hyperlink r:id="rId56" ref="V50"/>
    <hyperlink r:id="rId57" ref="V51"/>
    <hyperlink r:id="rId58" ref="V52"/>
    <hyperlink r:id="rId59" ref="V53"/>
    <hyperlink r:id="rId60" ref="V54"/>
    <hyperlink r:id="rId61" ref="V55"/>
    <hyperlink r:id="rId62" ref="V56"/>
    <hyperlink r:id="rId63" ref="V57"/>
    <hyperlink r:id="rId64" ref="V58"/>
    <hyperlink r:id="rId65" ref="V59"/>
    <hyperlink r:id="rId66" ref="V60"/>
    <hyperlink r:id="rId67" ref="V61"/>
    <hyperlink r:id="rId68" ref="V62"/>
    <hyperlink r:id="rId69" ref="V63"/>
    <hyperlink r:id="rId70" ref="V64"/>
    <hyperlink r:id="rId71" ref="V65"/>
    <hyperlink r:id="rId72" ref="V66"/>
    <hyperlink r:id="rId73" ref="V67"/>
    <hyperlink r:id="rId74" ref="V68"/>
    <hyperlink r:id="rId75" ref="V69"/>
    <hyperlink r:id="rId76" ref="V70"/>
  </hyperlinks>
  <printOptions/>
  <pageMargins bottom="0.75" footer="0.0" header="0.0" left="0.7" right="0.7" top="0.75"/>
  <pageSetup orientation="landscape"/>
  <drawing r:id="rId7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1.22" defaultRowHeight="15.0"/>
  <cols>
    <col customWidth="1" min="1" max="1" width="3.0"/>
    <col customWidth="1" min="2" max="2" width="11.44"/>
    <col customWidth="1" min="3" max="3" width="12.11"/>
    <col customWidth="1" min="4" max="4" width="24.56"/>
    <col customWidth="1" min="5" max="5" width="23.22"/>
    <col customWidth="1" min="6" max="6" width="24.33"/>
    <col customWidth="1" min="7" max="7" width="21.78"/>
    <col customWidth="1" min="8" max="11" width="19.56"/>
    <col customWidth="1" min="12" max="12" width="14.11"/>
    <col customWidth="1" min="13" max="13" width="10.0"/>
    <col customWidth="1" min="14" max="14" width="10.67"/>
    <col customWidth="1" min="15" max="15" width="17.0"/>
    <col customWidth="1" min="16" max="16" width="7.56"/>
    <col customWidth="1" min="17" max="17" width="7.89"/>
    <col customWidth="1" min="18" max="18" width="50.78"/>
  </cols>
  <sheetData>
    <row r="1" ht="11.25" customHeight="1">
      <c r="A1" s="333" t="s">
        <v>539</v>
      </c>
    </row>
    <row r="2" ht="16.5" customHeight="1"/>
    <row r="3" ht="20.25" customHeight="1"/>
    <row r="4" ht="37.5" customHeight="1">
      <c r="A4" s="211" t="s">
        <v>1</v>
      </c>
      <c r="B4" s="3"/>
      <c r="C4" s="4"/>
      <c r="D4" s="334" t="s">
        <v>2</v>
      </c>
      <c r="E4" s="6"/>
      <c r="F4" s="335" t="s">
        <v>540</v>
      </c>
      <c r="G4" s="8"/>
      <c r="H4" s="8"/>
      <c r="I4" s="8"/>
      <c r="J4" s="9"/>
      <c r="K4" s="336"/>
      <c r="P4" s="336"/>
      <c r="Q4" s="15"/>
      <c r="R4" s="337"/>
    </row>
    <row r="5" ht="37.5" customHeight="1">
      <c r="A5" s="338" t="s">
        <v>5</v>
      </c>
      <c r="B5" s="339" t="s">
        <v>6</v>
      </c>
      <c r="C5" s="339" t="s">
        <v>7</v>
      </c>
      <c r="D5" s="340" t="s">
        <v>9</v>
      </c>
      <c r="E5" s="341" t="s">
        <v>10</v>
      </c>
      <c r="F5" s="342">
        <v>1.0</v>
      </c>
      <c r="G5" s="343">
        <v>2.0</v>
      </c>
      <c r="H5" s="343">
        <v>3.0</v>
      </c>
      <c r="I5" s="343">
        <v>4.0</v>
      </c>
      <c r="J5" s="344">
        <v>5.0</v>
      </c>
      <c r="K5" s="345" t="s">
        <v>11</v>
      </c>
      <c r="L5" s="341" t="s">
        <v>12</v>
      </c>
      <c r="M5" s="341" t="s">
        <v>13</v>
      </c>
      <c r="N5" s="346" t="s">
        <v>541</v>
      </c>
      <c r="O5" s="346" t="s">
        <v>542</v>
      </c>
      <c r="P5" s="347" t="s">
        <v>17</v>
      </c>
      <c r="Q5" s="348"/>
      <c r="R5" s="349" t="s">
        <v>20</v>
      </c>
    </row>
    <row r="6" ht="37.5" customHeight="1">
      <c r="A6" s="350">
        <v>1.0</v>
      </c>
      <c r="B6" s="351">
        <f>IF(OR(D6&lt;&gt;"", E6&lt;&gt;""), IF(B6="", NOW(), B6), "")
</f>
        <v>45447.65817</v>
      </c>
      <c r="C6" s="30"/>
      <c r="D6" s="352" t="s">
        <v>543</v>
      </c>
      <c r="E6" s="265" t="s">
        <v>46</v>
      </c>
      <c r="F6" s="287" t="s">
        <v>544</v>
      </c>
      <c r="G6" s="287" t="s">
        <v>137</v>
      </c>
      <c r="H6" s="287" t="s">
        <v>279</v>
      </c>
      <c r="I6" s="287" t="s">
        <v>269</v>
      </c>
      <c r="J6" s="287" t="s">
        <v>178</v>
      </c>
      <c r="K6" s="36" t="s">
        <v>545</v>
      </c>
      <c r="L6" s="353" t="s">
        <v>546</v>
      </c>
      <c r="M6" s="353"/>
      <c r="N6" s="354"/>
      <c r="O6" s="354"/>
      <c r="P6" s="355" t="s">
        <v>547</v>
      </c>
      <c r="Q6" s="356"/>
      <c r="R6" s="40"/>
    </row>
    <row r="7" ht="37.5" customHeight="1">
      <c r="A7" s="357">
        <v>2.0</v>
      </c>
      <c r="B7" s="351">
        <v>45444.436717951394</v>
      </c>
      <c r="C7" s="358"/>
      <c r="D7" s="359" t="s">
        <v>475</v>
      </c>
      <c r="E7" s="265" t="s">
        <v>46</v>
      </c>
      <c r="F7" s="287" t="s">
        <v>47</v>
      </c>
      <c r="G7" s="287"/>
      <c r="H7" s="287"/>
      <c r="I7" s="287"/>
      <c r="J7" s="285"/>
      <c r="K7" s="36" t="s">
        <v>476</v>
      </c>
      <c r="L7" s="287" t="s">
        <v>546</v>
      </c>
      <c r="M7" s="287" t="s">
        <v>548</v>
      </c>
      <c r="N7" s="287" t="s">
        <v>489</v>
      </c>
      <c r="O7" s="285"/>
      <c r="P7" s="355" t="s">
        <v>547</v>
      </c>
      <c r="Q7" s="360"/>
      <c r="R7" s="50"/>
    </row>
    <row r="8" ht="37.5" customHeight="1">
      <c r="A8" s="357">
        <v>3.0</v>
      </c>
      <c r="B8" s="351">
        <v>45444.436717951394</v>
      </c>
      <c r="C8" s="361"/>
      <c r="D8" s="352" t="s">
        <v>549</v>
      </c>
      <c r="E8" s="265" t="s">
        <v>108</v>
      </c>
      <c r="F8" s="287" t="s">
        <v>123</v>
      </c>
      <c r="G8" s="285"/>
      <c r="H8" s="285"/>
      <c r="I8" s="285"/>
      <c r="J8" s="285"/>
      <c r="K8" s="35"/>
      <c r="L8" s="285"/>
      <c r="M8" s="287"/>
      <c r="N8" s="285"/>
      <c r="O8" s="285"/>
      <c r="P8" s="355" t="s">
        <v>547</v>
      </c>
      <c r="Q8" s="356"/>
      <c r="R8" s="57"/>
    </row>
    <row r="9" ht="37.5" customHeight="1">
      <c r="A9" s="357">
        <v>4.0</v>
      </c>
      <c r="B9" s="351">
        <f t="shared" ref="B9:B53" si="1">IF(OR(D9&lt;&gt;"", E9&lt;&gt;""), IF(B9="", NOW(), B9), "")
</f>
        <v>45444.43672</v>
      </c>
      <c r="C9" s="361"/>
      <c r="D9" s="352" t="s">
        <v>550</v>
      </c>
      <c r="E9" s="265" t="s">
        <v>58</v>
      </c>
      <c r="F9" s="287" t="s">
        <v>551</v>
      </c>
      <c r="G9" s="287" t="s">
        <v>552</v>
      </c>
      <c r="H9" s="287" t="s">
        <v>553</v>
      </c>
      <c r="I9" s="285"/>
      <c r="J9" s="285"/>
      <c r="K9" s="35"/>
      <c r="L9" s="285"/>
      <c r="M9" s="287"/>
      <c r="N9" s="285"/>
      <c r="O9" s="285"/>
      <c r="P9" s="355" t="s">
        <v>547</v>
      </c>
      <c r="Q9" s="356"/>
      <c r="R9" s="57"/>
    </row>
    <row r="10" ht="42.0" customHeight="1">
      <c r="A10" s="357">
        <v>5.0</v>
      </c>
      <c r="B10" s="351">
        <f t="shared" si="1"/>
        <v>45444.43694</v>
      </c>
      <c r="C10" s="358"/>
      <c r="D10" s="352" t="s">
        <v>554</v>
      </c>
      <c r="E10" s="265" t="s">
        <v>34</v>
      </c>
      <c r="F10" s="287" t="s">
        <v>37</v>
      </c>
      <c r="G10" s="287" t="s">
        <v>35</v>
      </c>
      <c r="H10" s="287" t="s">
        <v>39</v>
      </c>
      <c r="I10" s="287" t="s">
        <v>38</v>
      </c>
      <c r="J10" s="287" t="s">
        <v>40</v>
      </c>
      <c r="K10" s="36" t="s">
        <v>555</v>
      </c>
      <c r="L10" s="287" t="s">
        <v>546</v>
      </c>
      <c r="M10" s="287" t="s">
        <v>548</v>
      </c>
      <c r="N10" s="287" t="s">
        <v>489</v>
      </c>
      <c r="O10" s="285"/>
      <c r="P10" s="355" t="s">
        <v>547</v>
      </c>
      <c r="Q10" s="362" t="s">
        <v>556</v>
      </c>
      <c r="R10" s="363" t="s">
        <v>557</v>
      </c>
    </row>
    <row r="11" ht="37.5" customHeight="1">
      <c r="A11" s="357">
        <v>6.0</v>
      </c>
      <c r="B11" s="351">
        <f t="shared" si="1"/>
        <v>45444.43698</v>
      </c>
      <c r="C11" s="358"/>
      <c r="D11" s="352" t="s">
        <v>558</v>
      </c>
      <c r="E11" s="287" t="s">
        <v>46</v>
      </c>
      <c r="F11" s="287" t="s">
        <v>178</v>
      </c>
      <c r="G11" s="287" t="s">
        <v>125</v>
      </c>
      <c r="H11" s="287" t="s">
        <v>88</v>
      </c>
      <c r="I11" s="285"/>
      <c r="J11" s="285"/>
      <c r="K11" s="36" t="s">
        <v>559</v>
      </c>
      <c r="L11" s="287" t="s">
        <v>546</v>
      </c>
      <c r="M11" s="287" t="s">
        <v>560</v>
      </c>
      <c r="N11" s="287" t="s">
        <v>489</v>
      </c>
      <c r="O11" s="287"/>
      <c r="P11" s="355" t="s">
        <v>547</v>
      </c>
      <c r="Q11" s="356"/>
      <c r="R11" s="57"/>
    </row>
    <row r="12" ht="37.5" customHeight="1">
      <c r="A12" s="357">
        <v>7.0</v>
      </c>
      <c r="B12" s="351">
        <f t="shared" si="1"/>
        <v>45444.43714</v>
      </c>
      <c r="C12" s="361"/>
      <c r="D12" s="364" t="s">
        <v>561</v>
      </c>
      <c r="E12" s="287" t="s">
        <v>23</v>
      </c>
      <c r="F12" s="287" t="s">
        <v>24</v>
      </c>
      <c r="G12" s="285"/>
      <c r="H12" s="285"/>
      <c r="I12" s="285"/>
      <c r="J12" s="285"/>
      <c r="K12" s="35"/>
      <c r="L12" s="285"/>
      <c r="M12" s="285"/>
      <c r="N12" s="285"/>
      <c r="O12" s="285"/>
      <c r="P12" s="355" t="s">
        <v>547</v>
      </c>
      <c r="Q12" s="356"/>
      <c r="R12" s="57"/>
    </row>
    <row r="13" ht="37.5" customHeight="1">
      <c r="A13" s="357">
        <v>8.0</v>
      </c>
      <c r="B13" s="351">
        <f t="shared" si="1"/>
        <v>45444.43733</v>
      </c>
      <c r="C13" s="361"/>
      <c r="D13" s="364" t="s">
        <v>562</v>
      </c>
      <c r="E13" s="287" t="s">
        <v>34</v>
      </c>
      <c r="F13" s="287" t="s">
        <v>208</v>
      </c>
      <c r="G13" s="285"/>
      <c r="H13" s="285"/>
      <c r="I13" s="285"/>
      <c r="J13" s="285"/>
      <c r="K13" s="35"/>
      <c r="L13" s="285"/>
      <c r="M13" s="285"/>
      <c r="N13" s="285"/>
      <c r="O13" s="285"/>
      <c r="P13" s="355" t="s">
        <v>547</v>
      </c>
      <c r="Q13" s="356"/>
      <c r="R13" s="57"/>
    </row>
    <row r="14" ht="37.5" customHeight="1">
      <c r="A14" s="357">
        <v>9.0</v>
      </c>
      <c r="B14" s="351">
        <f t="shared" si="1"/>
        <v>45444.43777</v>
      </c>
      <c r="C14" s="361"/>
      <c r="D14" s="364" t="s">
        <v>563</v>
      </c>
      <c r="E14" s="287" t="s">
        <v>34</v>
      </c>
      <c r="F14" s="287" t="s">
        <v>208</v>
      </c>
      <c r="G14" s="285"/>
      <c r="H14" s="285"/>
      <c r="I14" s="285"/>
      <c r="J14" s="285"/>
      <c r="K14" s="35"/>
      <c r="L14" s="285"/>
      <c r="M14" s="285"/>
      <c r="N14" s="285"/>
      <c r="O14" s="285"/>
      <c r="P14" s="355" t="s">
        <v>547</v>
      </c>
      <c r="Q14" s="356"/>
      <c r="R14" s="57"/>
    </row>
    <row r="15">
      <c r="A15" s="357">
        <v>10.0</v>
      </c>
      <c r="B15" s="351">
        <f t="shared" si="1"/>
        <v>45444.43853</v>
      </c>
      <c r="C15" s="361"/>
      <c r="D15" s="364" t="s">
        <v>564</v>
      </c>
      <c r="E15" s="287" t="s">
        <v>46</v>
      </c>
      <c r="F15" s="287" t="s">
        <v>279</v>
      </c>
      <c r="G15" s="287" t="s">
        <v>409</v>
      </c>
      <c r="H15" s="287" t="s">
        <v>299</v>
      </c>
      <c r="I15" s="287" t="s">
        <v>132</v>
      </c>
      <c r="J15" s="287" t="s">
        <v>269</v>
      </c>
      <c r="K15" s="36" t="s">
        <v>565</v>
      </c>
      <c r="L15" s="287" t="s">
        <v>546</v>
      </c>
      <c r="M15" s="287" t="s">
        <v>566</v>
      </c>
      <c r="N15" s="287" t="s">
        <v>489</v>
      </c>
      <c r="O15" s="285"/>
      <c r="P15" s="355" t="s">
        <v>547</v>
      </c>
      <c r="Q15" s="365"/>
      <c r="R15" s="70" t="s">
        <v>567</v>
      </c>
    </row>
    <row r="16" ht="37.5" customHeight="1">
      <c r="A16" s="357">
        <v>11.0</v>
      </c>
      <c r="B16" s="351" t="str">
        <f t="shared" si="1"/>
        <v/>
      </c>
      <c r="C16" s="366"/>
      <c r="D16" s="364"/>
      <c r="E16" s="287"/>
      <c r="F16" s="287"/>
      <c r="G16" s="285"/>
      <c r="H16" s="285"/>
      <c r="I16" s="285"/>
      <c r="J16" s="285"/>
      <c r="K16" s="35"/>
      <c r="L16" s="285"/>
      <c r="M16" s="285"/>
      <c r="N16" s="285"/>
      <c r="O16" s="285"/>
      <c r="P16" s="355" t="s">
        <v>547</v>
      </c>
      <c r="Q16" s="356"/>
      <c r="R16" s="57"/>
    </row>
    <row r="17" ht="37.5" customHeight="1">
      <c r="A17" s="357">
        <v>12.0</v>
      </c>
      <c r="B17" s="351">
        <f t="shared" si="1"/>
        <v>45444.53234</v>
      </c>
      <c r="C17" s="358"/>
      <c r="D17" s="364" t="s">
        <v>568</v>
      </c>
      <c r="E17" s="287" t="s">
        <v>34</v>
      </c>
      <c r="F17" s="287" t="s">
        <v>35</v>
      </c>
      <c r="G17" s="287" t="s">
        <v>208</v>
      </c>
      <c r="H17" s="287" t="s">
        <v>65</v>
      </c>
      <c r="I17" s="285"/>
      <c r="J17" s="285"/>
      <c r="K17" s="36" t="s">
        <v>483</v>
      </c>
      <c r="L17" s="287" t="s">
        <v>546</v>
      </c>
      <c r="M17" s="287" t="s">
        <v>569</v>
      </c>
      <c r="N17" s="287" t="s">
        <v>481</v>
      </c>
      <c r="O17" s="287" t="s">
        <v>570</v>
      </c>
      <c r="P17" s="355" t="s">
        <v>547</v>
      </c>
      <c r="Q17" s="367" t="s">
        <v>571</v>
      </c>
      <c r="R17" s="368" t="s">
        <v>572</v>
      </c>
    </row>
    <row r="18" ht="37.5" customHeight="1">
      <c r="A18" s="357">
        <v>13.0</v>
      </c>
      <c r="B18" s="351">
        <f t="shared" si="1"/>
        <v>45444.55462</v>
      </c>
      <c r="C18" s="361"/>
      <c r="D18" s="364" t="s">
        <v>573</v>
      </c>
      <c r="E18" s="287" t="s">
        <v>34</v>
      </c>
      <c r="F18" s="287" t="s">
        <v>35</v>
      </c>
      <c r="G18" s="287" t="s">
        <v>36</v>
      </c>
      <c r="H18" s="287" t="s">
        <v>37</v>
      </c>
      <c r="I18" s="287" t="s">
        <v>40</v>
      </c>
      <c r="J18" s="285"/>
      <c r="K18" s="35"/>
      <c r="L18" s="287" t="s">
        <v>546</v>
      </c>
      <c r="M18" s="287" t="s">
        <v>566</v>
      </c>
      <c r="N18" s="285"/>
      <c r="O18" s="285"/>
      <c r="P18" s="355" t="s">
        <v>547</v>
      </c>
      <c r="Q18" s="11"/>
      <c r="R18" s="70" t="s">
        <v>574</v>
      </c>
    </row>
    <row r="19" ht="37.5" customHeight="1">
      <c r="A19" s="357">
        <v>14.0</v>
      </c>
      <c r="B19" s="351">
        <f t="shared" si="1"/>
        <v>45444.55641</v>
      </c>
      <c r="C19" s="366"/>
      <c r="D19" s="364" t="s">
        <v>575</v>
      </c>
      <c r="E19" s="287" t="s">
        <v>46</v>
      </c>
      <c r="F19" s="287" t="s">
        <v>125</v>
      </c>
      <c r="G19" s="287" t="s">
        <v>124</v>
      </c>
      <c r="H19" s="287" t="s">
        <v>418</v>
      </c>
      <c r="I19" s="287" t="s">
        <v>122</v>
      </c>
      <c r="J19" s="287" t="s">
        <v>308</v>
      </c>
      <c r="K19" s="36" t="s">
        <v>576</v>
      </c>
      <c r="L19" s="287" t="s">
        <v>546</v>
      </c>
      <c r="M19" s="287" t="s">
        <v>577</v>
      </c>
      <c r="N19" s="287" t="s">
        <v>481</v>
      </c>
      <c r="O19" s="287" t="s">
        <v>578</v>
      </c>
      <c r="P19" s="355" t="s">
        <v>547</v>
      </c>
      <c r="Q19" s="369"/>
      <c r="R19" s="55" t="s">
        <v>579</v>
      </c>
    </row>
    <row r="20" ht="37.5" customHeight="1">
      <c r="A20" s="357">
        <v>15.0</v>
      </c>
      <c r="B20" s="351" t="str">
        <f t="shared" si="1"/>
        <v/>
      </c>
      <c r="C20" s="366"/>
      <c r="D20" s="364"/>
      <c r="E20" s="287"/>
      <c r="F20" s="287"/>
      <c r="G20" s="287"/>
      <c r="H20" s="287"/>
      <c r="I20" s="287"/>
      <c r="J20" s="287"/>
      <c r="K20" s="35"/>
      <c r="L20" s="287" t="s">
        <v>546</v>
      </c>
      <c r="M20" s="287" t="s">
        <v>548</v>
      </c>
      <c r="N20" s="287" t="s">
        <v>489</v>
      </c>
      <c r="O20" s="285"/>
      <c r="P20" s="355" t="s">
        <v>547</v>
      </c>
      <c r="Q20" s="356"/>
      <c r="R20" s="57"/>
    </row>
    <row r="21" ht="37.5" customHeight="1">
      <c r="A21" s="357">
        <v>16.0</v>
      </c>
      <c r="B21" s="351">
        <f t="shared" si="1"/>
        <v>45445.61602</v>
      </c>
      <c r="C21" s="366"/>
      <c r="D21" s="364" t="s">
        <v>580</v>
      </c>
      <c r="E21" s="287" t="s">
        <v>46</v>
      </c>
      <c r="F21" s="370" t="s">
        <v>299</v>
      </c>
      <c r="G21" s="285"/>
      <c r="H21" s="285"/>
      <c r="I21" s="285"/>
      <c r="J21" s="285"/>
      <c r="K21" s="36" t="s">
        <v>581</v>
      </c>
      <c r="L21" s="287" t="s">
        <v>546</v>
      </c>
      <c r="M21" s="287" t="s">
        <v>566</v>
      </c>
      <c r="N21" s="285"/>
      <c r="O21" s="285"/>
      <c r="P21" s="355" t="s">
        <v>547</v>
      </c>
      <c r="Q21" s="371"/>
      <c r="R21" s="372" t="s">
        <v>582</v>
      </c>
    </row>
    <row r="22" ht="37.5" customHeight="1">
      <c r="A22" s="357">
        <v>17.0</v>
      </c>
      <c r="B22" s="351">
        <f t="shared" si="1"/>
        <v>45481.94316</v>
      </c>
      <c r="C22" s="366"/>
      <c r="D22" s="373" t="s">
        <v>508</v>
      </c>
      <c r="E22" s="287" t="s">
        <v>46</v>
      </c>
      <c r="F22" s="370" t="s">
        <v>299</v>
      </c>
      <c r="G22" s="285"/>
      <c r="H22" s="285"/>
      <c r="I22" s="285"/>
      <c r="J22" s="285"/>
      <c r="K22" s="36" t="s">
        <v>509</v>
      </c>
      <c r="L22" s="287" t="s">
        <v>546</v>
      </c>
      <c r="M22" s="287" t="s">
        <v>548</v>
      </c>
      <c r="N22" s="287" t="s">
        <v>489</v>
      </c>
      <c r="O22" s="285"/>
      <c r="P22" s="355" t="s">
        <v>547</v>
      </c>
      <c r="Q22" s="371"/>
      <c r="R22" s="372" t="s">
        <v>583</v>
      </c>
    </row>
    <row r="23" ht="37.5" customHeight="1">
      <c r="A23" s="357">
        <v>18.0</v>
      </c>
      <c r="B23" s="374">
        <f t="shared" si="1"/>
        <v>45497.47447</v>
      </c>
      <c r="C23" s="375"/>
      <c r="D23" s="376" t="s">
        <v>584</v>
      </c>
      <c r="E23" s="377" t="s">
        <v>108</v>
      </c>
      <c r="F23" s="378" t="s">
        <v>585</v>
      </c>
      <c r="G23" s="377" t="s">
        <v>390</v>
      </c>
      <c r="H23" s="377" t="s">
        <v>393</v>
      </c>
      <c r="I23" s="377" t="s">
        <v>426</v>
      </c>
      <c r="J23" s="377" t="s">
        <v>123</v>
      </c>
      <c r="K23" s="93" t="s">
        <v>427</v>
      </c>
      <c r="L23" s="377" t="s">
        <v>546</v>
      </c>
      <c r="M23" s="377" t="s">
        <v>586</v>
      </c>
      <c r="N23" s="377" t="s">
        <v>481</v>
      </c>
      <c r="O23" s="377" t="s">
        <v>587</v>
      </c>
      <c r="P23" s="379" t="s">
        <v>547</v>
      </c>
      <c r="Q23" s="380" t="s">
        <v>588</v>
      </c>
      <c r="R23" s="70" t="s">
        <v>589</v>
      </c>
    </row>
    <row r="24" ht="37.5" customHeight="1">
      <c r="A24" s="357">
        <v>19.0</v>
      </c>
      <c r="B24" s="351" t="str">
        <f t="shared" si="1"/>
        <v/>
      </c>
      <c r="C24" s="366"/>
      <c r="D24" s="381"/>
      <c r="E24" s="285"/>
      <c r="F24" s="382"/>
      <c r="G24" s="285"/>
      <c r="H24" s="285"/>
      <c r="I24" s="285"/>
      <c r="J24" s="285"/>
      <c r="K24" s="35"/>
      <c r="L24" s="285"/>
      <c r="M24" s="285"/>
      <c r="N24" s="285"/>
      <c r="O24" s="285"/>
      <c r="P24" s="355" t="s">
        <v>547</v>
      </c>
      <c r="Q24" s="356"/>
      <c r="R24" s="57"/>
    </row>
    <row r="25" ht="37.5" customHeight="1">
      <c r="A25" s="357">
        <v>20.0</v>
      </c>
      <c r="B25" s="351" t="str">
        <f t="shared" si="1"/>
        <v/>
      </c>
      <c r="C25" s="366"/>
      <c r="D25" s="381"/>
      <c r="E25" s="354"/>
      <c r="F25" s="382"/>
      <c r="G25" s="285"/>
      <c r="H25" s="285"/>
      <c r="I25" s="285"/>
      <c r="J25" s="285"/>
      <c r="K25" s="35"/>
      <c r="L25" s="285"/>
      <c r="M25" s="285"/>
      <c r="N25" s="285"/>
      <c r="O25" s="285"/>
      <c r="P25" s="355" t="s">
        <v>547</v>
      </c>
      <c r="Q25" s="356"/>
      <c r="R25" s="57"/>
    </row>
    <row r="26" ht="37.5" customHeight="1">
      <c r="A26" s="357">
        <v>21.0</v>
      </c>
      <c r="B26" s="351" t="str">
        <f t="shared" si="1"/>
        <v/>
      </c>
      <c r="C26" s="383"/>
      <c r="D26" s="381"/>
      <c r="E26" s="285"/>
      <c r="F26" s="382"/>
      <c r="G26" s="285"/>
      <c r="H26" s="285"/>
      <c r="I26" s="285"/>
      <c r="J26" s="285"/>
      <c r="K26" s="35"/>
      <c r="L26" s="285"/>
      <c r="M26" s="285"/>
      <c r="N26" s="285"/>
      <c r="O26" s="285"/>
      <c r="P26" s="355" t="s">
        <v>547</v>
      </c>
      <c r="Q26" s="356"/>
      <c r="R26" s="57"/>
    </row>
    <row r="27" ht="37.5" customHeight="1">
      <c r="A27" s="357">
        <v>22.0</v>
      </c>
      <c r="B27" s="351" t="str">
        <f t="shared" si="1"/>
        <v/>
      </c>
      <c r="C27" s="366"/>
      <c r="D27" s="381"/>
      <c r="E27" s="285"/>
      <c r="F27" s="382"/>
      <c r="G27" s="285"/>
      <c r="H27" s="285"/>
      <c r="I27" s="285"/>
      <c r="J27" s="285"/>
      <c r="K27" s="35"/>
      <c r="L27" s="285"/>
      <c r="M27" s="285"/>
      <c r="N27" s="285"/>
      <c r="O27" s="285"/>
      <c r="P27" s="355" t="s">
        <v>547</v>
      </c>
      <c r="Q27" s="360"/>
      <c r="R27" s="50"/>
    </row>
    <row r="28" ht="37.5" customHeight="1">
      <c r="A28" s="357">
        <v>23.0</v>
      </c>
      <c r="B28" s="351" t="str">
        <f t="shared" si="1"/>
        <v/>
      </c>
      <c r="C28" s="384"/>
      <c r="D28" s="381"/>
      <c r="E28" s="285"/>
      <c r="F28" s="382"/>
      <c r="G28" s="285"/>
      <c r="H28" s="285"/>
      <c r="I28" s="285"/>
      <c r="J28" s="285"/>
      <c r="K28" s="35"/>
      <c r="L28" s="285"/>
      <c r="M28" s="285"/>
      <c r="N28" s="285"/>
      <c r="O28" s="285"/>
      <c r="P28" s="355" t="s">
        <v>547</v>
      </c>
      <c r="Q28" s="360"/>
      <c r="R28" s="50"/>
    </row>
    <row r="29" ht="37.5" customHeight="1">
      <c r="A29" s="357">
        <v>24.0</v>
      </c>
      <c r="B29" s="351" t="str">
        <f t="shared" si="1"/>
        <v/>
      </c>
      <c r="C29" s="361"/>
      <c r="D29" s="381"/>
      <c r="E29" s="285"/>
      <c r="F29" s="285"/>
      <c r="G29" s="285"/>
      <c r="H29" s="285"/>
      <c r="I29" s="285"/>
      <c r="J29" s="285"/>
      <c r="K29" s="35"/>
      <c r="L29" s="285"/>
      <c r="M29" s="285"/>
      <c r="N29" s="285"/>
      <c r="O29" s="285"/>
      <c r="P29" s="355" t="s">
        <v>547</v>
      </c>
      <c r="Q29" s="360"/>
      <c r="R29" s="50"/>
    </row>
    <row r="30" ht="37.5" customHeight="1">
      <c r="A30" s="357">
        <v>25.0</v>
      </c>
      <c r="B30" s="351" t="str">
        <f t="shared" si="1"/>
        <v/>
      </c>
      <c r="C30" s="361"/>
      <c r="D30" s="381"/>
      <c r="E30" s="285"/>
      <c r="F30" s="285"/>
      <c r="G30" s="285"/>
      <c r="H30" s="285"/>
      <c r="I30" s="285"/>
      <c r="J30" s="285"/>
      <c r="K30" s="35"/>
      <c r="L30" s="285"/>
      <c r="M30" s="285"/>
      <c r="N30" s="285"/>
      <c r="O30" s="285"/>
      <c r="P30" s="355" t="s">
        <v>547</v>
      </c>
      <c r="Q30" s="360"/>
      <c r="R30" s="50"/>
    </row>
    <row r="31" ht="37.5" customHeight="1">
      <c r="A31" s="357">
        <v>26.0</v>
      </c>
      <c r="B31" s="351" t="str">
        <f t="shared" si="1"/>
        <v/>
      </c>
      <c r="C31" s="361"/>
      <c r="D31" s="381"/>
      <c r="E31" s="285"/>
      <c r="F31" s="285"/>
      <c r="G31" s="285"/>
      <c r="H31" s="285"/>
      <c r="I31" s="285"/>
      <c r="J31" s="285"/>
      <c r="K31" s="35"/>
      <c r="L31" s="285"/>
      <c r="M31" s="285"/>
      <c r="N31" s="285"/>
      <c r="O31" s="285"/>
      <c r="P31" s="355" t="s">
        <v>547</v>
      </c>
      <c r="Q31" s="360"/>
      <c r="R31" s="50"/>
    </row>
    <row r="32" ht="37.5" customHeight="1">
      <c r="A32" s="357">
        <v>27.0</v>
      </c>
      <c r="B32" s="351" t="str">
        <f t="shared" si="1"/>
        <v/>
      </c>
      <c r="C32" s="361"/>
      <c r="D32" s="381"/>
      <c r="E32" s="285"/>
      <c r="F32" s="285"/>
      <c r="G32" s="285"/>
      <c r="H32" s="285"/>
      <c r="I32" s="285"/>
      <c r="J32" s="285"/>
      <c r="K32" s="35"/>
      <c r="L32" s="285"/>
      <c r="M32" s="285"/>
      <c r="N32" s="285"/>
      <c r="O32" s="285"/>
      <c r="P32" s="355" t="s">
        <v>547</v>
      </c>
      <c r="Q32" s="356"/>
      <c r="R32" s="57"/>
    </row>
    <row r="33" ht="37.5" customHeight="1">
      <c r="A33" s="357">
        <v>28.0</v>
      </c>
      <c r="B33" s="351" t="str">
        <f t="shared" si="1"/>
        <v/>
      </c>
      <c r="C33" s="361"/>
      <c r="D33" s="381"/>
      <c r="E33" s="285"/>
      <c r="F33" s="285"/>
      <c r="G33" s="285"/>
      <c r="H33" s="285"/>
      <c r="I33" s="285"/>
      <c r="J33" s="285"/>
      <c r="K33" s="35"/>
      <c r="L33" s="285"/>
      <c r="M33" s="285"/>
      <c r="N33" s="285"/>
      <c r="O33" s="285"/>
      <c r="P33" s="355" t="s">
        <v>547</v>
      </c>
      <c r="Q33" s="356"/>
      <c r="R33" s="57"/>
    </row>
    <row r="34" ht="37.5" customHeight="1">
      <c r="A34" s="357">
        <v>29.0</v>
      </c>
      <c r="B34" s="351" t="str">
        <f t="shared" si="1"/>
        <v/>
      </c>
      <c r="C34" s="366"/>
      <c r="D34" s="381"/>
      <c r="E34" s="285"/>
      <c r="F34" s="285"/>
      <c r="G34" s="285"/>
      <c r="H34" s="285"/>
      <c r="I34" s="285"/>
      <c r="J34" s="285"/>
      <c r="K34" s="35"/>
      <c r="L34" s="285"/>
      <c r="M34" s="285"/>
      <c r="N34" s="285"/>
      <c r="O34" s="285"/>
      <c r="P34" s="355" t="s">
        <v>547</v>
      </c>
      <c r="Q34" s="356"/>
      <c r="R34" s="57"/>
    </row>
    <row r="35" ht="37.5" customHeight="1">
      <c r="A35" s="357">
        <v>30.0</v>
      </c>
      <c r="B35" s="351" t="str">
        <f t="shared" si="1"/>
        <v/>
      </c>
      <c r="C35" s="366"/>
      <c r="D35" s="381"/>
      <c r="E35" s="285"/>
      <c r="F35" s="285"/>
      <c r="G35" s="285"/>
      <c r="H35" s="285"/>
      <c r="I35" s="285"/>
      <c r="J35" s="285"/>
      <c r="K35" s="35"/>
      <c r="L35" s="285"/>
      <c r="M35" s="285"/>
      <c r="N35" s="285"/>
      <c r="O35" s="285"/>
      <c r="P35" s="355" t="s">
        <v>547</v>
      </c>
      <c r="Q35" s="356"/>
      <c r="R35" s="57"/>
    </row>
    <row r="36" ht="37.5" customHeight="1">
      <c r="A36" s="357">
        <v>31.0</v>
      </c>
      <c r="B36" s="351" t="str">
        <f t="shared" si="1"/>
        <v/>
      </c>
      <c r="C36" s="366"/>
      <c r="D36" s="381"/>
      <c r="E36" s="285"/>
      <c r="F36" s="285"/>
      <c r="G36" s="285"/>
      <c r="H36" s="285"/>
      <c r="I36" s="285"/>
      <c r="J36" s="285"/>
      <c r="K36" s="35"/>
      <c r="L36" s="285"/>
      <c r="M36" s="285"/>
      <c r="N36" s="285"/>
      <c r="O36" s="285"/>
      <c r="P36" s="355" t="s">
        <v>547</v>
      </c>
      <c r="Q36" s="356"/>
      <c r="R36" s="57"/>
    </row>
    <row r="37" ht="37.5" customHeight="1">
      <c r="A37" s="357">
        <v>32.0</v>
      </c>
      <c r="B37" s="351" t="str">
        <f t="shared" si="1"/>
        <v/>
      </c>
      <c r="C37" s="366"/>
      <c r="D37" s="381"/>
      <c r="E37" s="285"/>
      <c r="F37" s="285"/>
      <c r="G37" s="285"/>
      <c r="H37" s="285"/>
      <c r="I37" s="285"/>
      <c r="J37" s="285"/>
      <c r="K37" s="35"/>
      <c r="L37" s="285"/>
      <c r="M37" s="285"/>
      <c r="N37" s="285"/>
      <c r="O37" s="285"/>
      <c r="P37" s="355" t="s">
        <v>547</v>
      </c>
      <c r="Q37" s="356"/>
      <c r="R37" s="57"/>
    </row>
    <row r="38" ht="37.5" customHeight="1">
      <c r="A38" s="357">
        <v>33.0</v>
      </c>
      <c r="B38" s="351" t="str">
        <f t="shared" si="1"/>
        <v/>
      </c>
      <c r="C38" s="366"/>
      <c r="D38" s="381"/>
      <c r="E38" s="285"/>
      <c r="F38" s="285"/>
      <c r="G38" s="285"/>
      <c r="H38" s="285"/>
      <c r="I38" s="285"/>
      <c r="J38" s="285"/>
      <c r="K38" s="35"/>
      <c r="L38" s="285"/>
      <c r="M38" s="285"/>
      <c r="N38" s="285"/>
      <c r="O38" s="285"/>
      <c r="P38" s="355" t="s">
        <v>547</v>
      </c>
      <c r="Q38" s="356"/>
      <c r="R38" s="57"/>
    </row>
    <row r="39" ht="37.5" customHeight="1">
      <c r="A39" s="357">
        <v>34.0</v>
      </c>
      <c r="B39" s="351" t="str">
        <f t="shared" si="1"/>
        <v/>
      </c>
      <c r="C39" s="366"/>
      <c r="D39" s="381"/>
      <c r="E39" s="285"/>
      <c r="F39" s="285"/>
      <c r="G39" s="285"/>
      <c r="H39" s="285"/>
      <c r="I39" s="285"/>
      <c r="J39" s="285"/>
      <c r="K39" s="35"/>
      <c r="L39" s="285"/>
      <c r="M39" s="285"/>
      <c r="N39" s="285"/>
      <c r="O39" s="285"/>
      <c r="P39" s="355" t="s">
        <v>547</v>
      </c>
      <c r="Q39" s="360"/>
      <c r="R39" s="50"/>
    </row>
    <row r="40" ht="37.5" customHeight="1">
      <c r="A40" s="357">
        <v>35.0</v>
      </c>
      <c r="B40" s="351" t="str">
        <f t="shared" si="1"/>
        <v/>
      </c>
      <c r="C40" s="366"/>
      <c r="D40" s="381"/>
      <c r="E40" s="285"/>
      <c r="F40" s="285"/>
      <c r="G40" s="285"/>
      <c r="H40" s="285"/>
      <c r="I40" s="285"/>
      <c r="J40" s="285"/>
      <c r="K40" s="35"/>
      <c r="L40" s="285"/>
      <c r="M40" s="285"/>
      <c r="N40" s="285"/>
      <c r="O40" s="285"/>
      <c r="P40" s="355" t="s">
        <v>547</v>
      </c>
      <c r="Q40" s="360"/>
      <c r="R40" s="50"/>
    </row>
    <row r="41" ht="37.5" customHeight="1">
      <c r="A41" s="357">
        <v>36.0</v>
      </c>
      <c r="B41" s="351" t="str">
        <f t="shared" si="1"/>
        <v/>
      </c>
      <c r="C41" s="366"/>
      <c r="D41" s="385"/>
      <c r="E41" s="285"/>
      <c r="F41" s="285"/>
      <c r="G41" s="285"/>
      <c r="H41" s="285"/>
      <c r="I41" s="285"/>
      <c r="J41" s="285"/>
      <c r="K41" s="35"/>
      <c r="L41" s="285"/>
      <c r="M41" s="285"/>
      <c r="N41" s="285"/>
      <c r="O41" s="285"/>
      <c r="P41" s="355" t="s">
        <v>547</v>
      </c>
      <c r="Q41" s="360"/>
      <c r="R41" s="50"/>
    </row>
    <row r="42" ht="37.5" customHeight="1">
      <c r="A42" s="357">
        <v>37.0</v>
      </c>
      <c r="B42" s="351" t="str">
        <f t="shared" si="1"/>
        <v/>
      </c>
      <c r="C42" s="366"/>
      <c r="D42" s="381"/>
      <c r="E42" s="285"/>
      <c r="F42" s="285"/>
      <c r="G42" s="285"/>
      <c r="H42" s="285"/>
      <c r="I42" s="285"/>
      <c r="J42" s="285"/>
      <c r="K42" s="35"/>
      <c r="L42" s="285"/>
      <c r="M42" s="285"/>
      <c r="N42" s="285"/>
      <c r="O42" s="285"/>
      <c r="P42" s="355" t="s">
        <v>547</v>
      </c>
      <c r="Q42" s="360"/>
      <c r="R42" s="50"/>
    </row>
    <row r="43" ht="37.5" customHeight="1">
      <c r="A43" s="357">
        <v>38.0</v>
      </c>
      <c r="B43" s="351" t="str">
        <f t="shared" si="1"/>
        <v/>
      </c>
      <c r="C43" s="386"/>
      <c r="D43" s="381"/>
      <c r="E43" s="285"/>
      <c r="F43" s="285"/>
      <c r="G43" s="285"/>
      <c r="H43" s="285"/>
      <c r="I43" s="285"/>
      <c r="J43" s="285"/>
      <c r="K43" s="35"/>
      <c r="L43" s="285"/>
      <c r="M43" s="285"/>
      <c r="N43" s="285"/>
      <c r="O43" s="285"/>
      <c r="P43" s="355" t="s">
        <v>547</v>
      </c>
      <c r="Q43" s="360"/>
      <c r="R43" s="50"/>
    </row>
    <row r="44" ht="37.5" customHeight="1">
      <c r="A44" s="357">
        <v>39.0</v>
      </c>
      <c r="B44" s="351" t="str">
        <f t="shared" si="1"/>
        <v/>
      </c>
      <c r="C44" s="366"/>
      <c r="D44" s="381"/>
      <c r="E44" s="285"/>
      <c r="F44" s="285"/>
      <c r="G44" s="285"/>
      <c r="H44" s="285"/>
      <c r="I44" s="285"/>
      <c r="J44" s="285"/>
      <c r="K44" s="35"/>
      <c r="L44" s="285"/>
      <c r="M44" s="285"/>
      <c r="N44" s="285"/>
      <c r="O44" s="285"/>
      <c r="P44" s="355" t="s">
        <v>547</v>
      </c>
      <c r="Q44" s="360"/>
      <c r="R44" s="50"/>
    </row>
    <row r="45" ht="37.5" customHeight="1">
      <c r="A45" s="357">
        <v>40.0</v>
      </c>
      <c r="B45" s="351" t="str">
        <f t="shared" si="1"/>
        <v/>
      </c>
      <c r="C45" s="366"/>
      <c r="D45" s="381"/>
      <c r="E45" s="285"/>
      <c r="F45" s="285"/>
      <c r="G45" s="285"/>
      <c r="H45" s="285"/>
      <c r="I45" s="285"/>
      <c r="J45" s="285"/>
      <c r="K45" s="35"/>
      <c r="L45" s="285"/>
      <c r="M45" s="285"/>
      <c r="N45" s="285"/>
      <c r="O45" s="285"/>
      <c r="P45" s="355" t="s">
        <v>547</v>
      </c>
      <c r="Q45" s="356"/>
      <c r="R45" s="57"/>
    </row>
    <row r="46" ht="37.5" customHeight="1">
      <c r="A46" s="357">
        <v>41.0</v>
      </c>
      <c r="B46" s="351" t="str">
        <f t="shared" si="1"/>
        <v/>
      </c>
      <c r="C46" s="366"/>
      <c r="D46" s="381"/>
      <c r="E46" s="285"/>
      <c r="F46" s="285"/>
      <c r="G46" s="285"/>
      <c r="H46" s="285"/>
      <c r="I46" s="285"/>
      <c r="J46" s="285"/>
      <c r="K46" s="35"/>
      <c r="L46" s="285"/>
      <c r="M46" s="285"/>
      <c r="N46" s="285"/>
      <c r="O46" s="285"/>
      <c r="P46" s="355" t="s">
        <v>547</v>
      </c>
      <c r="Q46" s="360"/>
      <c r="R46" s="50"/>
    </row>
    <row r="47" ht="37.5" customHeight="1">
      <c r="A47" s="357">
        <v>42.0</v>
      </c>
      <c r="B47" s="351" t="str">
        <f t="shared" si="1"/>
        <v/>
      </c>
      <c r="C47" s="366"/>
      <c r="D47" s="381"/>
      <c r="E47" s="285"/>
      <c r="F47" s="285"/>
      <c r="G47" s="285"/>
      <c r="H47" s="285"/>
      <c r="I47" s="285"/>
      <c r="J47" s="285"/>
      <c r="K47" s="35"/>
      <c r="L47" s="285"/>
      <c r="M47" s="285"/>
      <c r="N47" s="285"/>
      <c r="O47" s="285"/>
      <c r="P47" s="355" t="s">
        <v>547</v>
      </c>
      <c r="Q47" s="356"/>
      <c r="R47" s="57"/>
    </row>
    <row r="48" ht="37.5" customHeight="1">
      <c r="A48" s="357">
        <v>43.0</v>
      </c>
      <c r="B48" s="351" t="str">
        <f t="shared" si="1"/>
        <v/>
      </c>
      <c r="C48" s="366"/>
      <c r="D48" s="381"/>
      <c r="E48" s="285"/>
      <c r="F48" s="285"/>
      <c r="G48" s="285"/>
      <c r="H48" s="285"/>
      <c r="I48" s="285"/>
      <c r="J48" s="285"/>
      <c r="K48" s="35"/>
      <c r="L48" s="285"/>
      <c r="M48" s="285"/>
      <c r="N48" s="285"/>
      <c r="O48" s="285"/>
      <c r="P48" s="355" t="s">
        <v>547</v>
      </c>
      <c r="Q48" s="356"/>
      <c r="R48" s="57"/>
    </row>
    <row r="49" ht="37.5" customHeight="1">
      <c r="A49" s="357">
        <v>44.0</v>
      </c>
      <c r="B49" s="351" t="str">
        <f t="shared" si="1"/>
        <v/>
      </c>
      <c r="C49" s="366"/>
      <c r="D49" s="381"/>
      <c r="E49" s="285"/>
      <c r="F49" s="285"/>
      <c r="G49" s="285"/>
      <c r="H49" s="285"/>
      <c r="I49" s="285"/>
      <c r="J49" s="285"/>
      <c r="K49" s="35"/>
      <c r="L49" s="285"/>
      <c r="M49" s="285"/>
      <c r="N49" s="285"/>
      <c r="O49" s="285"/>
      <c r="P49" s="355" t="s">
        <v>547</v>
      </c>
      <c r="Q49" s="356"/>
      <c r="R49" s="57"/>
    </row>
    <row r="50" ht="37.5" customHeight="1">
      <c r="A50" s="357">
        <v>45.0</v>
      </c>
      <c r="B50" s="351" t="str">
        <f t="shared" si="1"/>
        <v/>
      </c>
      <c r="C50" s="366"/>
      <c r="D50" s="381"/>
      <c r="E50" s="285"/>
      <c r="F50" s="285"/>
      <c r="G50" s="285"/>
      <c r="H50" s="285"/>
      <c r="I50" s="285"/>
      <c r="J50" s="285"/>
      <c r="K50" s="35"/>
      <c r="L50" s="285"/>
      <c r="M50" s="285"/>
      <c r="N50" s="285"/>
      <c r="O50" s="285"/>
      <c r="P50" s="355" t="s">
        <v>547</v>
      </c>
      <c r="Q50" s="356"/>
      <c r="R50" s="57"/>
    </row>
    <row r="51" ht="37.5" customHeight="1">
      <c r="A51" s="357">
        <v>46.0</v>
      </c>
      <c r="B51" s="351" t="str">
        <f t="shared" si="1"/>
        <v/>
      </c>
      <c r="C51" s="366"/>
      <c r="D51" s="387"/>
      <c r="E51" s="285"/>
      <c r="F51" s="285"/>
      <c r="G51" s="285"/>
      <c r="H51" s="285"/>
      <c r="I51" s="285"/>
      <c r="J51" s="285"/>
      <c r="K51" s="35"/>
      <c r="L51" s="285"/>
      <c r="M51" s="285"/>
      <c r="N51" s="285"/>
      <c r="O51" s="285"/>
      <c r="P51" s="355" t="s">
        <v>547</v>
      </c>
      <c r="Q51" s="388"/>
      <c r="R51" s="111"/>
    </row>
    <row r="52" ht="37.5" customHeight="1">
      <c r="A52" s="357">
        <v>47.0</v>
      </c>
      <c r="B52" s="351" t="str">
        <f t="shared" si="1"/>
        <v/>
      </c>
      <c r="C52" s="366"/>
      <c r="D52" s="373"/>
      <c r="E52" s="285"/>
      <c r="F52" s="389"/>
      <c r="G52" s="285"/>
      <c r="H52" s="285"/>
      <c r="I52" s="285"/>
      <c r="J52" s="285"/>
      <c r="K52" s="35"/>
      <c r="L52" s="285"/>
      <c r="M52" s="285"/>
      <c r="N52" s="285"/>
      <c r="O52" s="285"/>
      <c r="P52" s="355" t="s">
        <v>547</v>
      </c>
      <c r="Q52" s="356"/>
      <c r="R52" s="57"/>
    </row>
    <row r="53" ht="37.5" customHeight="1">
      <c r="A53" s="357">
        <v>48.0</v>
      </c>
      <c r="B53" s="351" t="str">
        <f t="shared" si="1"/>
        <v/>
      </c>
      <c r="C53" s="366"/>
      <c r="D53" s="390"/>
      <c r="E53" s="285"/>
      <c r="F53" s="389"/>
      <c r="G53" s="285"/>
      <c r="H53" s="285"/>
      <c r="I53" s="285"/>
      <c r="J53" s="285"/>
      <c r="K53" s="35"/>
      <c r="L53" s="285"/>
      <c r="M53" s="285"/>
      <c r="N53" s="285"/>
      <c r="O53" s="285"/>
      <c r="P53" s="355" t="s">
        <v>547</v>
      </c>
      <c r="Q53" s="356"/>
      <c r="R53" s="57"/>
    </row>
    <row r="54" ht="15.75" customHeight="1">
      <c r="D54" s="387"/>
      <c r="F54" s="206"/>
      <c r="Q54" s="15"/>
      <c r="R54" s="337"/>
    </row>
    <row r="55" ht="15.75" customHeight="1">
      <c r="D55" s="387"/>
      <c r="F55" s="206"/>
      <c r="Q55" s="15"/>
      <c r="R55" s="337"/>
    </row>
    <row r="56" ht="15.75" customHeight="1">
      <c r="D56" s="387"/>
      <c r="F56" s="391"/>
      <c r="Q56" s="15"/>
      <c r="R56" s="337"/>
    </row>
    <row r="57" ht="15.75" customHeight="1">
      <c r="D57" s="387"/>
      <c r="F57" s="391"/>
      <c r="Q57" s="15"/>
      <c r="R57" s="337"/>
    </row>
    <row r="58" ht="15.75" customHeight="1">
      <c r="D58" s="387"/>
      <c r="F58" s="391"/>
      <c r="Q58" s="15"/>
      <c r="R58" s="337"/>
    </row>
    <row r="59" ht="15.75" customHeight="1">
      <c r="D59" s="387"/>
      <c r="F59" s="206"/>
      <c r="Q59" s="15"/>
      <c r="R59" s="337"/>
    </row>
    <row r="60" ht="15.75" customHeight="1">
      <c r="D60" s="387"/>
      <c r="F60" s="206"/>
      <c r="Q60" s="15"/>
      <c r="R60" s="337"/>
    </row>
    <row r="61" ht="15.75" customHeight="1">
      <c r="D61" s="387"/>
      <c r="F61" s="206"/>
      <c r="Q61" s="15"/>
      <c r="R61" s="337"/>
    </row>
    <row r="62" ht="15.75" customHeight="1">
      <c r="D62" s="387"/>
      <c r="F62" s="206"/>
      <c r="Q62" s="15"/>
      <c r="R62" s="337"/>
    </row>
    <row r="63" ht="15.75" customHeight="1">
      <c r="D63" s="387"/>
      <c r="F63" s="206"/>
      <c r="Q63" s="15"/>
      <c r="R63" s="337"/>
    </row>
    <row r="64" ht="15.75" customHeight="1">
      <c r="D64" s="387"/>
      <c r="F64" s="206"/>
      <c r="Q64" s="15"/>
      <c r="R64" s="337"/>
    </row>
    <row r="65" ht="15.75" customHeight="1">
      <c r="D65" s="387"/>
      <c r="F65" s="206"/>
      <c r="Q65" s="15"/>
      <c r="R65" s="337"/>
    </row>
    <row r="66" ht="15.75" customHeight="1">
      <c r="D66" s="387"/>
      <c r="F66" s="206"/>
      <c r="Q66" s="15"/>
      <c r="R66" s="337"/>
    </row>
    <row r="67" ht="15.75" customHeight="1">
      <c r="D67" s="387"/>
      <c r="F67" s="206"/>
      <c r="Q67" s="15"/>
      <c r="R67" s="337"/>
    </row>
    <row r="68" ht="15.75" customHeight="1">
      <c r="D68" s="387"/>
      <c r="F68" s="206"/>
      <c r="Q68" s="15"/>
      <c r="R68" s="337"/>
    </row>
    <row r="69" ht="15.75" customHeight="1">
      <c r="D69" s="387"/>
      <c r="F69" s="206"/>
      <c r="Q69" s="15"/>
      <c r="R69" s="337"/>
    </row>
    <row r="70" ht="15.75" customHeight="1">
      <c r="D70" s="387"/>
      <c r="F70" s="206"/>
      <c r="Q70" s="15"/>
      <c r="R70" s="337"/>
    </row>
    <row r="71" ht="15.75" customHeight="1">
      <c r="D71" s="387"/>
      <c r="F71" s="206"/>
      <c r="Q71" s="15"/>
      <c r="R71" s="337"/>
    </row>
    <row r="72" ht="15.75" customHeight="1">
      <c r="D72" s="387"/>
      <c r="F72" s="206"/>
      <c r="Q72" s="15"/>
      <c r="R72" s="337"/>
    </row>
    <row r="73" ht="15.75" customHeight="1">
      <c r="D73" s="387"/>
      <c r="F73" s="206"/>
      <c r="Q73" s="15"/>
      <c r="R73" s="337"/>
    </row>
    <row r="74" ht="15.75" customHeight="1">
      <c r="D74" s="387"/>
      <c r="F74" s="206"/>
      <c r="Q74" s="15"/>
      <c r="R74" s="337"/>
    </row>
    <row r="75" ht="15.75" customHeight="1">
      <c r="D75" s="387"/>
      <c r="F75" s="206"/>
      <c r="Q75" s="15"/>
      <c r="R75" s="337"/>
    </row>
    <row r="76" ht="15.75" customHeight="1">
      <c r="D76" s="387"/>
      <c r="F76" s="206"/>
      <c r="Q76" s="15"/>
      <c r="R76" s="337"/>
    </row>
    <row r="77" ht="15.75" customHeight="1">
      <c r="D77" s="387"/>
      <c r="F77" s="206"/>
      <c r="Q77" s="15"/>
      <c r="R77" s="337"/>
    </row>
    <row r="78" ht="15.75" customHeight="1">
      <c r="D78" s="387"/>
      <c r="F78" s="206"/>
      <c r="Q78" s="15"/>
      <c r="R78" s="337"/>
    </row>
    <row r="79" ht="15.75" customHeight="1">
      <c r="D79" s="387"/>
      <c r="F79" s="206"/>
      <c r="Q79" s="15"/>
      <c r="R79" s="337"/>
    </row>
    <row r="80" ht="15.75" customHeight="1">
      <c r="D80" s="387"/>
      <c r="F80" s="206"/>
      <c r="Q80" s="15"/>
      <c r="R80" s="337"/>
    </row>
    <row r="81" ht="15.75" customHeight="1">
      <c r="D81" s="387"/>
      <c r="F81" s="206"/>
      <c r="Q81" s="15"/>
      <c r="R81" s="337"/>
    </row>
    <row r="82" ht="15.75" customHeight="1">
      <c r="D82" s="387"/>
      <c r="F82" s="206"/>
      <c r="Q82" s="15"/>
      <c r="R82" s="337"/>
    </row>
    <row r="83" ht="15.75" customHeight="1">
      <c r="D83" s="387"/>
      <c r="F83" s="206"/>
      <c r="Q83" s="15"/>
      <c r="R83" s="337"/>
    </row>
    <row r="84" ht="15.75" customHeight="1">
      <c r="D84" s="387"/>
      <c r="F84" s="206"/>
      <c r="Q84" s="15"/>
      <c r="R84" s="337"/>
    </row>
    <row r="85" ht="15.75" customHeight="1">
      <c r="D85" s="387"/>
      <c r="F85" s="206"/>
      <c r="Q85" s="15"/>
      <c r="R85" s="337"/>
    </row>
    <row r="86" ht="15.75" customHeight="1">
      <c r="D86" s="387"/>
      <c r="F86" s="206"/>
      <c r="Q86" s="15"/>
      <c r="R86" s="337"/>
    </row>
    <row r="87" ht="15.75" customHeight="1">
      <c r="D87" s="387"/>
      <c r="F87" s="206"/>
      <c r="Q87" s="15"/>
      <c r="R87" s="337"/>
    </row>
    <row r="88" ht="15.75" customHeight="1">
      <c r="D88" s="387"/>
      <c r="F88" s="206"/>
      <c r="Q88" s="15"/>
      <c r="R88" s="337"/>
    </row>
    <row r="89" ht="15.75" customHeight="1">
      <c r="D89" s="387"/>
      <c r="F89" s="206"/>
      <c r="Q89" s="15"/>
      <c r="R89" s="337"/>
    </row>
    <row r="90" ht="15.75" customHeight="1">
      <c r="D90" s="387"/>
      <c r="F90" s="206"/>
      <c r="Q90" s="15"/>
      <c r="R90" s="337"/>
    </row>
    <row r="91" ht="15.75" customHeight="1">
      <c r="D91" s="387"/>
      <c r="F91" s="206"/>
      <c r="Q91" s="15"/>
      <c r="R91" s="337"/>
    </row>
    <row r="92" ht="15.75" customHeight="1">
      <c r="D92" s="387"/>
      <c r="F92" s="206"/>
      <c r="Q92" s="15"/>
      <c r="R92" s="337"/>
    </row>
    <row r="93" ht="15.75" customHeight="1">
      <c r="D93" s="387"/>
      <c r="F93" s="206"/>
      <c r="Q93" s="15"/>
      <c r="R93" s="337"/>
    </row>
    <row r="94" ht="15.75" customHeight="1">
      <c r="D94" s="387"/>
      <c r="F94" s="206"/>
      <c r="Q94" s="15"/>
      <c r="R94" s="337"/>
    </row>
    <row r="95" ht="15.75" customHeight="1">
      <c r="D95" s="387"/>
      <c r="F95" s="206"/>
      <c r="Q95" s="15"/>
      <c r="R95" s="337"/>
    </row>
    <row r="96" ht="15.75" customHeight="1">
      <c r="D96" s="387"/>
      <c r="F96" s="206"/>
      <c r="Q96" s="15"/>
      <c r="R96" s="337"/>
    </row>
    <row r="97" ht="15.75" customHeight="1">
      <c r="D97" s="387"/>
      <c r="F97" s="206"/>
      <c r="Q97" s="15"/>
      <c r="R97" s="337"/>
    </row>
    <row r="98" ht="15.75" customHeight="1">
      <c r="D98" s="387"/>
      <c r="F98" s="206"/>
      <c r="Q98" s="15"/>
      <c r="R98" s="337"/>
    </row>
    <row r="99" ht="15.75" customHeight="1">
      <c r="D99" s="387"/>
      <c r="F99" s="206"/>
      <c r="Q99" s="15"/>
      <c r="R99" s="337"/>
    </row>
    <row r="100" ht="15.75" customHeight="1">
      <c r="D100" s="387"/>
      <c r="F100" s="206"/>
      <c r="Q100" s="15"/>
      <c r="R100" s="337"/>
    </row>
    <row r="101" ht="15.75" customHeight="1">
      <c r="D101" s="387"/>
      <c r="F101" s="206"/>
      <c r="Q101" s="15"/>
      <c r="R101" s="337"/>
    </row>
    <row r="102" ht="15.75" customHeight="1">
      <c r="D102" s="387"/>
      <c r="F102" s="206"/>
      <c r="Q102" s="15"/>
      <c r="R102" s="337"/>
    </row>
    <row r="103" ht="15.75" customHeight="1">
      <c r="D103" s="387"/>
      <c r="F103" s="206"/>
      <c r="Q103" s="15"/>
      <c r="R103" s="337"/>
    </row>
    <row r="104" ht="15.75" customHeight="1">
      <c r="D104" s="387"/>
      <c r="F104" s="206"/>
      <c r="Q104" s="15"/>
      <c r="R104" s="337"/>
    </row>
    <row r="105" ht="15.75" customHeight="1">
      <c r="D105" s="387"/>
      <c r="F105" s="206"/>
      <c r="Q105" s="15"/>
      <c r="R105" s="337"/>
    </row>
    <row r="106" ht="15.75" customHeight="1">
      <c r="D106" s="387"/>
      <c r="F106" s="206"/>
      <c r="Q106" s="15"/>
      <c r="R106" s="337"/>
    </row>
    <row r="107" ht="15.75" customHeight="1">
      <c r="D107" s="387"/>
      <c r="F107" s="206"/>
      <c r="Q107" s="15"/>
      <c r="R107" s="337"/>
    </row>
    <row r="108" ht="15.75" customHeight="1">
      <c r="D108" s="387"/>
      <c r="F108" s="206"/>
      <c r="Q108" s="15"/>
      <c r="R108" s="337"/>
    </row>
    <row r="109" ht="15.75" customHeight="1">
      <c r="D109" s="387"/>
      <c r="F109" s="206"/>
      <c r="Q109" s="15"/>
      <c r="R109" s="337"/>
    </row>
    <row r="110" ht="15.75" customHeight="1">
      <c r="D110" s="387"/>
      <c r="F110" s="206"/>
      <c r="Q110" s="15"/>
      <c r="R110" s="337"/>
    </row>
    <row r="111" ht="15.75" customHeight="1">
      <c r="D111" s="387"/>
      <c r="F111" s="206"/>
      <c r="Q111" s="15"/>
      <c r="R111" s="337"/>
    </row>
    <row r="112" ht="15.75" customHeight="1">
      <c r="D112" s="387"/>
      <c r="F112" s="206"/>
      <c r="Q112" s="15"/>
      <c r="R112" s="337"/>
    </row>
    <row r="113" ht="15.75" customHeight="1">
      <c r="D113" s="387"/>
      <c r="F113" s="206"/>
      <c r="Q113" s="15"/>
      <c r="R113" s="337"/>
    </row>
    <row r="114" ht="15.75" customHeight="1">
      <c r="D114" s="387"/>
      <c r="F114" s="206"/>
      <c r="Q114" s="15"/>
      <c r="R114" s="337"/>
    </row>
    <row r="115" ht="15.75" customHeight="1">
      <c r="D115" s="387"/>
      <c r="F115" s="206"/>
      <c r="Q115" s="15"/>
      <c r="R115" s="337"/>
    </row>
    <row r="116" ht="15.75" customHeight="1">
      <c r="D116" s="387"/>
      <c r="F116" s="206"/>
      <c r="Q116" s="15"/>
      <c r="R116" s="337"/>
    </row>
    <row r="117" ht="15.75" customHeight="1">
      <c r="D117" s="387"/>
      <c r="F117" s="206"/>
      <c r="Q117" s="15"/>
      <c r="R117" s="337"/>
    </row>
    <row r="118" ht="15.75" customHeight="1">
      <c r="D118" s="387"/>
      <c r="F118" s="206"/>
      <c r="Q118" s="15"/>
      <c r="R118" s="337"/>
    </row>
    <row r="119" ht="15.75" customHeight="1">
      <c r="D119" s="387"/>
      <c r="F119" s="206"/>
      <c r="Q119" s="15"/>
      <c r="R119" s="337"/>
    </row>
    <row r="120" ht="15.75" customHeight="1">
      <c r="D120" s="387"/>
      <c r="F120" s="206"/>
      <c r="Q120" s="15"/>
      <c r="R120" s="337"/>
    </row>
    <row r="121" ht="15.75" customHeight="1">
      <c r="D121" s="387"/>
      <c r="F121" s="206"/>
      <c r="Q121" s="15"/>
      <c r="R121" s="337"/>
    </row>
    <row r="122" ht="15.75" customHeight="1">
      <c r="D122" s="387"/>
      <c r="F122" s="206"/>
      <c r="Q122" s="15"/>
      <c r="R122" s="337"/>
    </row>
    <row r="123" ht="15.75" customHeight="1">
      <c r="D123" s="387"/>
      <c r="F123" s="206"/>
      <c r="Q123" s="15"/>
      <c r="R123" s="337"/>
    </row>
    <row r="124" ht="15.75" customHeight="1">
      <c r="D124" s="387"/>
      <c r="F124" s="206"/>
      <c r="Q124" s="15"/>
      <c r="R124" s="337"/>
    </row>
    <row r="125" ht="15.75" customHeight="1">
      <c r="D125" s="387"/>
      <c r="F125" s="206"/>
      <c r="Q125" s="15"/>
      <c r="R125" s="337"/>
    </row>
    <row r="126" ht="15.75" customHeight="1">
      <c r="D126" s="387"/>
      <c r="F126" s="206"/>
      <c r="Q126" s="15"/>
      <c r="R126" s="337"/>
    </row>
    <row r="127" ht="15.75" customHeight="1">
      <c r="D127" s="387"/>
      <c r="F127" s="206"/>
      <c r="Q127" s="15"/>
      <c r="R127" s="337"/>
    </row>
    <row r="128" ht="15.75" customHeight="1">
      <c r="D128" s="387"/>
      <c r="F128" s="206"/>
      <c r="Q128" s="15"/>
      <c r="R128" s="337"/>
    </row>
    <row r="129" ht="15.75" customHeight="1">
      <c r="D129" s="387"/>
      <c r="F129" s="206"/>
      <c r="Q129" s="15"/>
      <c r="R129" s="337"/>
    </row>
    <row r="130" ht="15.75" customHeight="1">
      <c r="D130" s="387"/>
      <c r="F130" s="206"/>
      <c r="Q130" s="15"/>
      <c r="R130" s="337"/>
    </row>
    <row r="131" ht="15.75" customHeight="1">
      <c r="D131" s="387"/>
      <c r="F131" s="206"/>
      <c r="Q131" s="15"/>
      <c r="R131" s="337"/>
    </row>
    <row r="132" ht="15.75" customHeight="1">
      <c r="D132" s="387"/>
      <c r="F132" s="206"/>
      <c r="Q132" s="15"/>
      <c r="R132" s="337"/>
    </row>
    <row r="133" ht="15.75" customHeight="1">
      <c r="D133" s="387"/>
      <c r="F133" s="206"/>
      <c r="Q133" s="15"/>
      <c r="R133" s="337"/>
    </row>
    <row r="134" ht="15.75" customHeight="1">
      <c r="D134" s="387"/>
      <c r="F134" s="206"/>
      <c r="Q134" s="15"/>
      <c r="R134" s="337"/>
    </row>
    <row r="135" ht="15.75" customHeight="1">
      <c r="D135" s="387"/>
      <c r="F135" s="206"/>
      <c r="Q135" s="15"/>
      <c r="R135" s="337"/>
    </row>
    <row r="136" ht="15.75" customHeight="1">
      <c r="D136" s="387"/>
      <c r="F136" s="206"/>
      <c r="Q136" s="15"/>
      <c r="R136" s="337"/>
    </row>
    <row r="137" ht="15.75" customHeight="1">
      <c r="D137" s="387"/>
      <c r="F137" s="206"/>
      <c r="Q137" s="15"/>
      <c r="R137" s="337"/>
    </row>
    <row r="138" ht="15.75" customHeight="1">
      <c r="D138" s="387"/>
      <c r="F138" s="206"/>
      <c r="Q138" s="15"/>
      <c r="R138" s="337"/>
    </row>
    <row r="139" ht="15.75" customHeight="1">
      <c r="D139" s="387"/>
      <c r="F139" s="206"/>
      <c r="Q139" s="15"/>
      <c r="R139" s="337"/>
    </row>
    <row r="140" ht="15.75" customHeight="1">
      <c r="D140" s="387"/>
      <c r="F140" s="206"/>
      <c r="Q140" s="15"/>
      <c r="R140" s="337"/>
    </row>
    <row r="141" ht="15.75" customHeight="1">
      <c r="D141" s="387"/>
      <c r="F141" s="206"/>
      <c r="Q141" s="15"/>
      <c r="R141" s="337"/>
    </row>
    <row r="142" ht="15.75" customHeight="1">
      <c r="D142" s="387"/>
      <c r="F142" s="206"/>
      <c r="Q142" s="15"/>
      <c r="R142" s="337"/>
    </row>
    <row r="143" ht="15.75" customHeight="1">
      <c r="D143" s="387"/>
      <c r="F143" s="206"/>
      <c r="Q143" s="15"/>
      <c r="R143" s="337"/>
    </row>
    <row r="144" ht="15.75" customHeight="1">
      <c r="D144" s="387"/>
      <c r="F144" s="206"/>
      <c r="Q144" s="15"/>
      <c r="R144" s="337"/>
    </row>
    <row r="145" ht="15.75" customHeight="1">
      <c r="D145" s="387"/>
      <c r="F145" s="206"/>
      <c r="Q145" s="15"/>
      <c r="R145" s="337"/>
    </row>
    <row r="146" ht="15.75" customHeight="1">
      <c r="D146" s="387"/>
      <c r="F146" s="206"/>
      <c r="Q146" s="15"/>
      <c r="R146" s="337"/>
    </row>
    <row r="147" ht="15.75" customHeight="1">
      <c r="D147" s="387"/>
      <c r="F147" s="206"/>
      <c r="Q147" s="15"/>
      <c r="R147" s="337"/>
    </row>
    <row r="148" ht="15.75" customHeight="1">
      <c r="D148" s="387"/>
      <c r="F148" s="206"/>
      <c r="Q148" s="15"/>
      <c r="R148" s="337"/>
    </row>
    <row r="149" ht="15.75" customHeight="1">
      <c r="D149" s="387"/>
      <c r="F149" s="206"/>
      <c r="Q149" s="15"/>
      <c r="R149" s="337"/>
    </row>
    <row r="150" ht="15.75" customHeight="1">
      <c r="D150" s="387"/>
      <c r="F150" s="206"/>
      <c r="Q150" s="15"/>
      <c r="R150" s="337"/>
    </row>
    <row r="151" ht="15.75" customHeight="1">
      <c r="D151" s="387"/>
      <c r="F151" s="206"/>
      <c r="Q151" s="15"/>
      <c r="R151" s="337"/>
    </row>
    <row r="152" ht="15.75" customHeight="1">
      <c r="D152" s="387"/>
      <c r="F152" s="206"/>
      <c r="Q152" s="15"/>
      <c r="R152" s="337"/>
    </row>
    <row r="153" ht="15.75" customHeight="1">
      <c r="D153" s="387"/>
      <c r="F153" s="206"/>
      <c r="Q153" s="15"/>
      <c r="R153" s="337"/>
    </row>
    <row r="154" ht="15.75" customHeight="1">
      <c r="D154" s="387"/>
      <c r="F154" s="206"/>
      <c r="Q154" s="15"/>
      <c r="R154" s="337"/>
    </row>
    <row r="155" ht="15.75" customHeight="1">
      <c r="D155" s="387"/>
      <c r="F155" s="206"/>
      <c r="Q155" s="15"/>
      <c r="R155" s="337"/>
    </row>
    <row r="156" ht="15.75" customHeight="1">
      <c r="D156" s="387"/>
      <c r="F156" s="206"/>
      <c r="Q156" s="15"/>
      <c r="R156" s="337"/>
    </row>
    <row r="157" ht="15.75" customHeight="1">
      <c r="D157" s="387"/>
      <c r="F157" s="206"/>
      <c r="Q157" s="15"/>
      <c r="R157" s="337"/>
    </row>
    <row r="158" ht="15.75" customHeight="1">
      <c r="D158" s="387"/>
      <c r="F158" s="206"/>
      <c r="Q158" s="15"/>
      <c r="R158" s="337"/>
    </row>
    <row r="159" ht="15.75" customHeight="1">
      <c r="D159" s="387"/>
      <c r="F159" s="206"/>
      <c r="Q159" s="15"/>
      <c r="R159" s="337"/>
    </row>
    <row r="160" ht="15.75" customHeight="1">
      <c r="D160" s="387"/>
      <c r="F160" s="206"/>
      <c r="Q160" s="15"/>
      <c r="R160" s="337"/>
    </row>
    <row r="161" ht="15.75" customHeight="1">
      <c r="D161" s="387"/>
      <c r="F161" s="206"/>
      <c r="Q161" s="15"/>
      <c r="R161" s="337"/>
    </row>
    <row r="162" ht="15.75" customHeight="1">
      <c r="D162" s="387"/>
      <c r="F162" s="206"/>
      <c r="Q162" s="15"/>
      <c r="R162" s="337"/>
    </row>
    <row r="163" ht="15.75" customHeight="1">
      <c r="D163" s="387"/>
      <c r="F163" s="206"/>
      <c r="Q163" s="15"/>
      <c r="R163" s="337"/>
    </row>
    <row r="164" ht="15.75" customHeight="1">
      <c r="D164" s="387"/>
      <c r="F164" s="206"/>
      <c r="Q164" s="15"/>
      <c r="R164" s="337"/>
    </row>
    <row r="165" ht="15.75" customHeight="1">
      <c r="D165" s="387"/>
      <c r="F165" s="206"/>
      <c r="Q165" s="15"/>
      <c r="R165" s="337"/>
    </row>
    <row r="166" ht="15.75" customHeight="1">
      <c r="D166" s="387"/>
      <c r="F166" s="206"/>
      <c r="Q166" s="15"/>
      <c r="R166" s="337"/>
    </row>
    <row r="167" ht="15.75" customHeight="1">
      <c r="D167" s="387"/>
      <c r="F167" s="206"/>
      <c r="Q167" s="15"/>
      <c r="R167" s="337"/>
    </row>
    <row r="168" ht="15.75" customHeight="1">
      <c r="D168" s="387"/>
      <c r="F168" s="206"/>
      <c r="Q168" s="15"/>
      <c r="R168" s="337"/>
    </row>
    <row r="169" ht="15.75" customHeight="1">
      <c r="D169" s="387"/>
      <c r="F169" s="206"/>
      <c r="Q169" s="15"/>
      <c r="R169" s="337"/>
    </row>
    <row r="170" ht="15.75" customHeight="1">
      <c r="D170" s="387"/>
      <c r="F170" s="206"/>
      <c r="Q170" s="15"/>
      <c r="R170" s="337"/>
    </row>
    <row r="171" ht="15.75" customHeight="1">
      <c r="D171" s="387"/>
      <c r="F171" s="206"/>
      <c r="Q171" s="15"/>
      <c r="R171" s="337"/>
    </row>
    <row r="172" ht="15.75" customHeight="1">
      <c r="D172" s="387"/>
      <c r="F172" s="206"/>
      <c r="Q172" s="15"/>
      <c r="R172" s="337"/>
    </row>
    <row r="173" ht="15.75" customHeight="1">
      <c r="D173" s="387"/>
      <c r="F173" s="206"/>
      <c r="Q173" s="15"/>
      <c r="R173" s="337"/>
    </row>
    <row r="174" ht="15.75" customHeight="1">
      <c r="D174" s="387"/>
      <c r="F174" s="206"/>
      <c r="Q174" s="15"/>
      <c r="R174" s="337"/>
    </row>
    <row r="175" ht="15.75" customHeight="1">
      <c r="D175" s="387"/>
      <c r="F175" s="206"/>
      <c r="Q175" s="15"/>
      <c r="R175" s="337"/>
    </row>
    <row r="176" ht="15.75" customHeight="1">
      <c r="D176" s="387"/>
      <c r="F176" s="206"/>
      <c r="Q176" s="15"/>
      <c r="R176" s="337"/>
    </row>
    <row r="177" ht="15.75" customHeight="1">
      <c r="D177" s="387"/>
      <c r="F177" s="206"/>
      <c r="Q177" s="15"/>
      <c r="R177" s="337"/>
    </row>
    <row r="178" ht="15.75" customHeight="1">
      <c r="D178" s="387"/>
      <c r="F178" s="206"/>
      <c r="Q178" s="15"/>
      <c r="R178" s="337"/>
    </row>
    <row r="179" ht="15.75" customHeight="1">
      <c r="D179" s="387"/>
      <c r="F179" s="206"/>
      <c r="Q179" s="15"/>
      <c r="R179" s="337"/>
    </row>
    <row r="180" ht="15.75" customHeight="1">
      <c r="D180" s="387"/>
      <c r="F180" s="206"/>
      <c r="Q180" s="15"/>
      <c r="R180" s="337"/>
    </row>
    <row r="181" ht="15.75" customHeight="1">
      <c r="D181" s="387"/>
      <c r="F181" s="206"/>
      <c r="Q181" s="15"/>
      <c r="R181" s="337"/>
    </row>
    <row r="182" ht="15.75" customHeight="1">
      <c r="D182" s="387"/>
      <c r="F182" s="206"/>
      <c r="Q182" s="15"/>
      <c r="R182" s="337"/>
    </row>
    <row r="183" ht="15.75" customHeight="1">
      <c r="D183" s="387"/>
      <c r="F183" s="206"/>
      <c r="Q183" s="15"/>
      <c r="R183" s="337"/>
    </row>
    <row r="184" ht="15.75" customHeight="1">
      <c r="D184" s="387"/>
      <c r="F184" s="206"/>
      <c r="Q184" s="15"/>
      <c r="R184" s="337"/>
    </row>
    <row r="185" ht="15.75" customHeight="1">
      <c r="D185" s="387"/>
      <c r="F185" s="206"/>
      <c r="Q185" s="15"/>
      <c r="R185" s="337"/>
    </row>
    <row r="186" ht="15.75" customHeight="1">
      <c r="D186" s="387"/>
      <c r="F186" s="206"/>
      <c r="Q186" s="15"/>
      <c r="R186" s="337"/>
    </row>
    <row r="187" ht="15.75" customHeight="1">
      <c r="D187" s="387"/>
      <c r="F187" s="206"/>
      <c r="Q187" s="15"/>
      <c r="R187" s="337"/>
    </row>
    <row r="188" ht="15.75" customHeight="1">
      <c r="D188" s="387"/>
      <c r="F188" s="206"/>
      <c r="Q188" s="15"/>
      <c r="R188" s="337"/>
    </row>
    <row r="189" ht="15.75" customHeight="1">
      <c r="D189" s="387"/>
      <c r="F189" s="206"/>
      <c r="Q189" s="15"/>
      <c r="R189" s="337"/>
    </row>
    <row r="190" ht="15.75" customHeight="1">
      <c r="D190" s="387"/>
      <c r="F190" s="206"/>
      <c r="Q190" s="15"/>
      <c r="R190" s="337"/>
    </row>
    <row r="191" ht="15.75" customHeight="1">
      <c r="D191" s="387"/>
      <c r="F191" s="206"/>
      <c r="Q191" s="15"/>
      <c r="R191" s="337"/>
    </row>
    <row r="192" ht="15.75" customHeight="1">
      <c r="D192" s="387"/>
      <c r="F192" s="206"/>
      <c r="Q192" s="15"/>
      <c r="R192" s="337"/>
    </row>
    <row r="193" ht="15.75" customHeight="1">
      <c r="D193" s="387"/>
      <c r="F193" s="206"/>
      <c r="Q193" s="15"/>
      <c r="R193" s="337"/>
    </row>
    <row r="194" ht="15.75" customHeight="1">
      <c r="D194" s="387"/>
      <c r="F194" s="206"/>
      <c r="Q194" s="15"/>
      <c r="R194" s="337"/>
    </row>
    <row r="195" ht="15.75" customHeight="1">
      <c r="D195" s="387"/>
      <c r="F195" s="206"/>
      <c r="Q195" s="15"/>
      <c r="R195" s="337"/>
    </row>
    <row r="196" ht="15.75" customHeight="1">
      <c r="D196" s="387"/>
      <c r="F196" s="206"/>
      <c r="Q196" s="15"/>
      <c r="R196" s="337"/>
    </row>
    <row r="197" ht="15.75" customHeight="1">
      <c r="D197" s="387"/>
      <c r="F197" s="206"/>
      <c r="Q197" s="15"/>
      <c r="R197" s="337"/>
    </row>
    <row r="198" ht="15.75" customHeight="1">
      <c r="D198" s="387"/>
      <c r="F198" s="206"/>
      <c r="Q198" s="15"/>
      <c r="R198" s="337"/>
    </row>
    <row r="199" ht="15.75" customHeight="1">
      <c r="D199" s="387"/>
      <c r="F199" s="206"/>
      <c r="Q199" s="15"/>
      <c r="R199" s="337"/>
    </row>
    <row r="200" ht="15.75" customHeight="1">
      <c r="D200" s="387"/>
      <c r="F200" s="206"/>
      <c r="Q200" s="15"/>
      <c r="R200" s="337"/>
    </row>
    <row r="201" ht="15.75" customHeight="1">
      <c r="D201" s="387"/>
      <c r="F201" s="206"/>
      <c r="Q201" s="15"/>
      <c r="R201" s="337"/>
    </row>
    <row r="202" ht="15.75" customHeight="1">
      <c r="D202" s="387"/>
      <c r="F202" s="206"/>
      <c r="Q202" s="15"/>
      <c r="R202" s="337"/>
    </row>
    <row r="203" ht="15.75" customHeight="1">
      <c r="D203" s="387"/>
      <c r="F203" s="206"/>
      <c r="Q203" s="15"/>
      <c r="R203" s="337"/>
    </row>
    <row r="204" ht="15.75" customHeight="1">
      <c r="D204" s="387"/>
      <c r="F204" s="206"/>
      <c r="Q204" s="15"/>
      <c r="R204" s="337"/>
    </row>
    <row r="205" ht="15.75" customHeight="1">
      <c r="D205" s="387"/>
      <c r="F205" s="206"/>
      <c r="Q205" s="15"/>
      <c r="R205" s="337"/>
    </row>
    <row r="206" ht="15.75" customHeight="1">
      <c r="D206" s="387"/>
      <c r="F206" s="206"/>
      <c r="Q206" s="15"/>
      <c r="R206" s="337"/>
    </row>
    <row r="207" ht="15.75" customHeight="1">
      <c r="D207" s="387"/>
      <c r="F207" s="206"/>
      <c r="Q207" s="15"/>
      <c r="R207" s="337"/>
    </row>
    <row r="208" ht="15.75" customHeight="1">
      <c r="D208" s="387"/>
      <c r="F208" s="206"/>
      <c r="Q208" s="15"/>
      <c r="R208" s="337"/>
    </row>
    <row r="209" ht="15.75" customHeight="1">
      <c r="D209" s="387"/>
      <c r="F209" s="206"/>
      <c r="Q209" s="15"/>
      <c r="R209" s="337"/>
    </row>
    <row r="210" ht="15.75" customHeight="1">
      <c r="D210" s="387"/>
      <c r="F210" s="206"/>
      <c r="Q210" s="15"/>
      <c r="R210" s="337"/>
    </row>
    <row r="211" ht="15.75" customHeight="1">
      <c r="D211" s="387"/>
      <c r="F211" s="206"/>
      <c r="Q211" s="15"/>
      <c r="R211" s="337"/>
    </row>
    <row r="212" ht="15.75" customHeight="1">
      <c r="D212" s="387"/>
      <c r="F212" s="206"/>
      <c r="Q212" s="15"/>
      <c r="R212" s="337"/>
    </row>
    <row r="213" ht="15.75" customHeight="1">
      <c r="D213" s="387"/>
      <c r="F213" s="206"/>
      <c r="Q213" s="15"/>
      <c r="R213" s="337"/>
    </row>
    <row r="214" ht="15.75" customHeight="1">
      <c r="D214" s="387"/>
      <c r="F214" s="206"/>
      <c r="Q214" s="15"/>
      <c r="R214" s="337"/>
    </row>
    <row r="215" ht="15.75" customHeight="1">
      <c r="D215" s="387"/>
      <c r="F215" s="206"/>
      <c r="Q215" s="15"/>
      <c r="R215" s="337"/>
    </row>
    <row r="216" ht="15.75" customHeight="1">
      <c r="D216" s="387"/>
      <c r="F216" s="206"/>
      <c r="Q216" s="15"/>
      <c r="R216" s="337"/>
    </row>
    <row r="217" ht="15.75" customHeight="1">
      <c r="D217" s="387"/>
      <c r="F217" s="206"/>
      <c r="Q217" s="15"/>
      <c r="R217" s="337"/>
    </row>
    <row r="218" ht="15.75" customHeight="1">
      <c r="D218" s="387"/>
      <c r="F218" s="206"/>
      <c r="Q218" s="15"/>
      <c r="R218" s="337"/>
    </row>
    <row r="219" ht="15.75" customHeight="1">
      <c r="D219" s="387"/>
      <c r="F219" s="206"/>
      <c r="Q219" s="15"/>
      <c r="R219" s="337"/>
    </row>
    <row r="220" ht="15.75" customHeight="1">
      <c r="D220" s="387"/>
      <c r="F220" s="206"/>
      <c r="Q220" s="15"/>
      <c r="R220" s="337"/>
    </row>
    <row r="221" ht="15.75" customHeight="1">
      <c r="D221" s="387"/>
      <c r="F221" s="206"/>
      <c r="Q221" s="15"/>
      <c r="R221" s="337"/>
    </row>
    <row r="222" ht="15.75" customHeight="1">
      <c r="D222" s="387"/>
      <c r="F222" s="206"/>
      <c r="Q222" s="15"/>
      <c r="R222" s="337"/>
    </row>
    <row r="223" ht="15.75" customHeight="1">
      <c r="D223" s="387"/>
      <c r="F223" s="206"/>
      <c r="Q223" s="15"/>
      <c r="R223" s="337"/>
    </row>
    <row r="224" ht="15.75" customHeight="1">
      <c r="D224" s="387"/>
      <c r="F224" s="206"/>
      <c r="Q224" s="15"/>
      <c r="R224" s="337"/>
    </row>
    <row r="225" ht="15.75" customHeight="1">
      <c r="D225" s="387"/>
      <c r="F225" s="206"/>
      <c r="Q225" s="15"/>
      <c r="R225" s="337"/>
    </row>
    <row r="226" ht="15.75" customHeight="1">
      <c r="D226" s="387"/>
      <c r="F226" s="206"/>
      <c r="Q226" s="15"/>
      <c r="R226" s="337"/>
    </row>
    <row r="227" ht="15.75" customHeight="1">
      <c r="D227" s="387"/>
      <c r="F227" s="206"/>
      <c r="Q227" s="15"/>
      <c r="R227" s="337"/>
    </row>
    <row r="228" ht="15.75" customHeight="1">
      <c r="D228" s="387"/>
      <c r="F228" s="206"/>
      <c r="Q228" s="15"/>
      <c r="R228" s="337"/>
    </row>
    <row r="229" ht="15.75" customHeight="1">
      <c r="D229" s="387"/>
      <c r="F229" s="206"/>
      <c r="Q229" s="15"/>
      <c r="R229" s="337"/>
    </row>
    <row r="230" ht="15.75" customHeight="1">
      <c r="D230" s="387"/>
      <c r="F230" s="206"/>
      <c r="Q230" s="15"/>
      <c r="R230" s="337"/>
    </row>
    <row r="231" ht="15.75" customHeight="1">
      <c r="D231" s="387"/>
      <c r="F231" s="206"/>
      <c r="Q231" s="15"/>
      <c r="R231" s="337"/>
    </row>
    <row r="232" ht="15.75" customHeight="1">
      <c r="D232" s="387"/>
      <c r="F232" s="206"/>
      <c r="Q232" s="15"/>
      <c r="R232" s="337"/>
    </row>
    <row r="233" ht="15.75" customHeight="1">
      <c r="D233" s="387"/>
      <c r="F233" s="206"/>
      <c r="Q233" s="15"/>
      <c r="R233" s="337"/>
    </row>
    <row r="234" ht="15.75" customHeight="1">
      <c r="D234" s="387"/>
      <c r="F234" s="206"/>
      <c r="Q234" s="15"/>
      <c r="R234" s="337"/>
    </row>
    <row r="235" ht="15.75" customHeight="1">
      <c r="D235" s="387"/>
      <c r="F235" s="206"/>
      <c r="Q235" s="15"/>
      <c r="R235" s="337"/>
    </row>
    <row r="236" ht="15.75" customHeight="1">
      <c r="D236" s="387"/>
      <c r="F236" s="206"/>
      <c r="Q236" s="15"/>
      <c r="R236" s="337"/>
    </row>
    <row r="237" ht="15.75" customHeight="1">
      <c r="D237" s="387"/>
      <c r="F237" s="206"/>
      <c r="Q237" s="15"/>
      <c r="R237" s="337"/>
    </row>
    <row r="238" ht="15.75" customHeight="1">
      <c r="D238" s="387"/>
      <c r="F238" s="206"/>
      <c r="Q238" s="15"/>
      <c r="R238" s="337"/>
    </row>
    <row r="239" ht="15.75" customHeight="1">
      <c r="D239" s="387"/>
      <c r="F239" s="206"/>
      <c r="Q239" s="15"/>
      <c r="R239" s="337"/>
    </row>
    <row r="240" ht="15.75" customHeight="1">
      <c r="D240" s="387"/>
      <c r="F240" s="206"/>
      <c r="Q240" s="15"/>
      <c r="R240" s="337"/>
    </row>
    <row r="241" ht="15.75" customHeight="1">
      <c r="D241" s="387"/>
      <c r="F241" s="206"/>
      <c r="Q241" s="15"/>
      <c r="R241" s="337"/>
    </row>
    <row r="242" ht="15.75" customHeight="1">
      <c r="D242" s="387"/>
      <c r="F242" s="206"/>
      <c r="Q242" s="15"/>
      <c r="R242" s="337"/>
    </row>
    <row r="243" ht="15.75" customHeight="1">
      <c r="D243" s="387"/>
      <c r="F243" s="206"/>
      <c r="Q243" s="15"/>
      <c r="R243" s="337"/>
    </row>
    <row r="244" ht="15.75" customHeight="1">
      <c r="D244" s="387"/>
      <c r="F244" s="206"/>
      <c r="Q244" s="15"/>
      <c r="R244" s="337"/>
    </row>
    <row r="245" ht="15.75" customHeight="1">
      <c r="D245" s="387"/>
      <c r="F245" s="206"/>
      <c r="Q245" s="15"/>
      <c r="R245" s="337"/>
    </row>
    <row r="246" ht="15.75" customHeight="1">
      <c r="D246" s="387"/>
      <c r="Q246" s="11"/>
      <c r="R246" s="392"/>
    </row>
    <row r="247" ht="15.75" customHeight="1">
      <c r="D247" s="387"/>
      <c r="Q247" s="11"/>
      <c r="R247" s="392"/>
    </row>
    <row r="248" ht="15.75" customHeight="1">
      <c r="D248" s="387"/>
      <c r="Q248" s="11"/>
      <c r="R248" s="392"/>
    </row>
    <row r="249" ht="15.75" customHeight="1">
      <c r="D249" s="387"/>
      <c r="Q249" s="11"/>
      <c r="R249" s="392"/>
    </row>
    <row r="250" ht="15.75" customHeight="1">
      <c r="D250" s="387"/>
      <c r="Q250" s="11"/>
      <c r="R250" s="392"/>
    </row>
    <row r="251" ht="15.75" customHeight="1">
      <c r="D251" s="387"/>
      <c r="Q251" s="11"/>
      <c r="R251" s="392"/>
    </row>
    <row r="252" ht="15.75" customHeight="1">
      <c r="D252" s="387"/>
      <c r="Q252" s="11"/>
      <c r="R252" s="392"/>
    </row>
    <row r="253" ht="15.75" customHeight="1">
      <c r="D253" s="387"/>
      <c r="Q253" s="11"/>
      <c r="R253" s="392"/>
    </row>
    <row r="254" ht="15.75" customHeight="1">
      <c r="D254" s="387"/>
      <c r="Q254" s="11"/>
      <c r="R254" s="392"/>
    </row>
    <row r="255" ht="15.75" customHeight="1">
      <c r="D255" s="387"/>
      <c r="Q255" s="11"/>
      <c r="R255" s="392"/>
    </row>
    <row r="256" ht="15.75" customHeight="1">
      <c r="D256" s="387"/>
      <c r="Q256" s="11"/>
      <c r="R256" s="392"/>
    </row>
    <row r="257" ht="15.75" customHeight="1">
      <c r="D257" s="387"/>
      <c r="Q257" s="11"/>
      <c r="R257" s="392"/>
    </row>
    <row r="258" ht="15.75" customHeight="1">
      <c r="D258" s="387"/>
      <c r="Q258" s="11"/>
      <c r="R258" s="392"/>
    </row>
    <row r="259" ht="15.75" customHeight="1">
      <c r="D259" s="387"/>
      <c r="Q259" s="11"/>
      <c r="R259" s="392"/>
    </row>
    <row r="260" ht="15.75" customHeight="1">
      <c r="D260" s="387"/>
      <c r="Q260" s="11"/>
      <c r="R260" s="392"/>
    </row>
    <row r="261" ht="15.75" customHeight="1">
      <c r="D261" s="387"/>
      <c r="Q261" s="11"/>
      <c r="R261" s="392"/>
    </row>
    <row r="262" ht="15.75" customHeight="1">
      <c r="D262" s="387"/>
      <c r="Q262" s="11"/>
      <c r="R262" s="392"/>
    </row>
    <row r="263" ht="15.75" customHeight="1">
      <c r="D263" s="387"/>
      <c r="Q263" s="11"/>
      <c r="R263" s="392"/>
    </row>
    <row r="264" ht="15.75" customHeight="1">
      <c r="D264" s="387"/>
      <c r="Q264" s="11"/>
      <c r="R264" s="392"/>
    </row>
    <row r="265" ht="15.75" customHeight="1">
      <c r="D265" s="387"/>
      <c r="Q265" s="11"/>
      <c r="R265" s="392"/>
    </row>
    <row r="266" ht="15.75" customHeight="1">
      <c r="D266" s="387"/>
      <c r="Q266" s="11"/>
      <c r="R266" s="392"/>
    </row>
    <row r="267" ht="15.75" customHeight="1">
      <c r="D267" s="387"/>
      <c r="Q267" s="11"/>
      <c r="R267" s="392"/>
    </row>
    <row r="268" ht="15.75" customHeight="1">
      <c r="D268" s="387"/>
      <c r="Q268" s="11"/>
      <c r="R268" s="392"/>
    </row>
    <row r="269" ht="15.75" customHeight="1">
      <c r="D269" s="387"/>
      <c r="Q269" s="11"/>
      <c r="R269" s="392"/>
    </row>
    <row r="270" ht="15.75" customHeight="1">
      <c r="D270" s="387"/>
      <c r="Q270" s="11"/>
      <c r="R270" s="392"/>
    </row>
    <row r="271" ht="15.75" customHeight="1">
      <c r="D271" s="387"/>
      <c r="Q271" s="11"/>
      <c r="R271" s="392"/>
    </row>
    <row r="272" ht="15.75" customHeight="1">
      <c r="D272" s="387"/>
      <c r="Q272" s="11"/>
      <c r="R272" s="392"/>
    </row>
    <row r="273" ht="15.75" customHeight="1">
      <c r="D273" s="387"/>
      <c r="Q273" s="11"/>
      <c r="R273" s="392"/>
    </row>
    <row r="274" ht="15.75" customHeight="1">
      <c r="D274" s="387"/>
      <c r="Q274" s="11"/>
      <c r="R274" s="392"/>
    </row>
    <row r="275" ht="15.75" customHeight="1">
      <c r="D275" s="387"/>
      <c r="Q275" s="11"/>
      <c r="R275" s="392"/>
    </row>
    <row r="276" ht="15.75" customHeight="1">
      <c r="D276" s="387"/>
      <c r="Q276" s="11"/>
      <c r="R276" s="392"/>
    </row>
    <row r="277" ht="15.75" customHeight="1">
      <c r="D277" s="387"/>
      <c r="Q277" s="11"/>
      <c r="R277" s="392"/>
    </row>
    <row r="278" ht="15.75" customHeight="1">
      <c r="D278" s="387"/>
      <c r="Q278" s="11"/>
      <c r="R278" s="392"/>
    </row>
    <row r="279" ht="15.75" customHeight="1">
      <c r="D279" s="387"/>
      <c r="Q279" s="11"/>
      <c r="R279" s="392"/>
    </row>
    <row r="280" ht="15.75" customHeight="1">
      <c r="D280" s="387"/>
      <c r="Q280" s="11"/>
      <c r="R280" s="392"/>
    </row>
    <row r="281" ht="15.75" customHeight="1">
      <c r="D281" s="387"/>
      <c r="Q281" s="11"/>
      <c r="R281" s="392"/>
    </row>
    <row r="282" ht="15.75" customHeight="1">
      <c r="D282" s="387"/>
      <c r="Q282" s="11"/>
      <c r="R282" s="392"/>
    </row>
    <row r="283" ht="15.75" customHeight="1">
      <c r="D283" s="387"/>
      <c r="Q283" s="11"/>
      <c r="R283" s="392"/>
    </row>
    <row r="284" ht="15.75" customHeight="1">
      <c r="D284" s="387"/>
      <c r="Q284" s="11"/>
      <c r="R284" s="392"/>
    </row>
    <row r="285" ht="15.75" customHeight="1">
      <c r="D285" s="387"/>
      <c r="Q285" s="11"/>
      <c r="R285" s="392"/>
    </row>
    <row r="286" ht="15.75" customHeight="1">
      <c r="D286" s="387"/>
      <c r="Q286" s="11"/>
      <c r="R286" s="392"/>
    </row>
    <row r="287" ht="15.75" customHeight="1">
      <c r="D287" s="387"/>
      <c r="Q287" s="11"/>
      <c r="R287" s="392"/>
    </row>
    <row r="288" ht="15.75" customHeight="1">
      <c r="D288" s="387"/>
      <c r="Q288" s="11"/>
      <c r="R288" s="392"/>
    </row>
    <row r="289" ht="15.75" customHeight="1">
      <c r="D289" s="387"/>
      <c r="Q289" s="11"/>
      <c r="R289" s="392"/>
    </row>
    <row r="290" ht="15.75" customHeight="1">
      <c r="D290" s="387"/>
      <c r="Q290" s="11"/>
      <c r="R290" s="392"/>
    </row>
    <row r="291" ht="15.75" customHeight="1">
      <c r="D291" s="387"/>
      <c r="Q291" s="11"/>
      <c r="R291" s="392"/>
    </row>
    <row r="292" ht="15.75" customHeight="1">
      <c r="D292" s="387"/>
      <c r="Q292" s="11"/>
      <c r="R292" s="392"/>
    </row>
    <row r="293" ht="15.75" customHeight="1">
      <c r="D293" s="387"/>
      <c r="Q293" s="11"/>
      <c r="R293" s="392"/>
    </row>
    <row r="294" ht="15.75" customHeight="1">
      <c r="D294" s="387"/>
      <c r="Q294" s="11"/>
      <c r="R294" s="392"/>
    </row>
    <row r="295" ht="15.75" customHeight="1">
      <c r="D295" s="387"/>
      <c r="Q295" s="11"/>
      <c r="R295" s="392"/>
    </row>
    <row r="296" ht="15.75" customHeight="1">
      <c r="D296" s="387"/>
      <c r="Q296" s="11"/>
      <c r="R296" s="392"/>
    </row>
    <row r="297" ht="15.75" customHeight="1">
      <c r="D297" s="387"/>
      <c r="Q297" s="11"/>
      <c r="R297" s="392"/>
    </row>
    <row r="298" ht="15.75" customHeight="1">
      <c r="D298" s="387"/>
      <c r="Q298" s="11"/>
      <c r="R298" s="392"/>
    </row>
    <row r="299" ht="15.75" customHeight="1">
      <c r="D299" s="387"/>
      <c r="Q299" s="11"/>
      <c r="R299" s="392"/>
    </row>
    <row r="300" ht="15.75" customHeight="1">
      <c r="D300" s="387"/>
      <c r="Q300" s="11"/>
      <c r="R300" s="392"/>
    </row>
    <row r="301" ht="15.75" customHeight="1">
      <c r="D301" s="387"/>
      <c r="Q301" s="11"/>
      <c r="R301" s="392"/>
    </row>
    <row r="302" ht="15.75" customHeight="1">
      <c r="D302" s="387"/>
      <c r="Q302" s="11"/>
      <c r="R302" s="392"/>
    </row>
    <row r="303" ht="15.75" customHeight="1">
      <c r="D303" s="387"/>
      <c r="Q303" s="11"/>
      <c r="R303" s="392"/>
    </row>
    <row r="304" ht="15.75" customHeight="1">
      <c r="D304" s="387"/>
      <c r="Q304" s="11"/>
      <c r="R304" s="392"/>
    </row>
    <row r="305" ht="15.75" customHeight="1">
      <c r="D305" s="387"/>
      <c r="Q305" s="11"/>
      <c r="R305" s="392"/>
    </row>
    <row r="306" ht="15.75" customHeight="1">
      <c r="D306" s="387"/>
      <c r="Q306" s="11"/>
      <c r="R306" s="392"/>
    </row>
    <row r="307" ht="15.75" customHeight="1">
      <c r="D307" s="387"/>
      <c r="Q307" s="11"/>
      <c r="R307" s="392"/>
    </row>
    <row r="308" ht="15.75" customHeight="1">
      <c r="D308" s="387"/>
      <c r="Q308" s="11"/>
      <c r="R308" s="392"/>
    </row>
    <row r="309" ht="15.75" customHeight="1">
      <c r="D309" s="387"/>
      <c r="Q309" s="11"/>
      <c r="R309" s="392"/>
    </row>
    <row r="310" ht="15.75" customHeight="1">
      <c r="D310" s="387"/>
      <c r="Q310" s="11"/>
      <c r="R310" s="392"/>
    </row>
    <row r="311" ht="15.75" customHeight="1">
      <c r="D311" s="387"/>
      <c r="Q311" s="11"/>
      <c r="R311" s="392"/>
    </row>
    <row r="312" ht="15.75" customHeight="1">
      <c r="D312" s="387"/>
      <c r="Q312" s="11"/>
      <c r="R312" s="392"/>
    </row>
    <row r="313" ht="15.75" customHeight="1">
      <c r="D313" s="387"/>
      <c r="Q313" s="11"/>
      <c r="R313" s="392"/>
    </row>
    <row r="314" ht="15.75" customHeight="1">
      <c r="D314" s="387"/>
      <c r="Q314" s="11"/>
      <c r="R314" s="392"/>
    </row>
    <row r="315" ht="15.75" customHeight="1">
      <c r="D315" s="387"/>
      <c r="Q315" s="11"/>
      <c r="R315" s="392"/>
    </row>
    <row r="316" ht="15.75" customHeight="1">
      <c r="D316" s="387"/>
      <c r="Q316" s="11"/>
      <c r="R316" s="392"/>
    </row>
    <row r="317" ht="15.75" customHeight="1">
      <c r="D317" s="387"/>
      <c r="Q317" s="11"/>
      <c r="R317" s="392"/>
    </row>
    <row r="318" ht="15.75" customHeight="1">
      <c r="D318" s="387"/>
      <c r="Q318" s="11"/>
      <c r="R318" s="392"/>
    </row>
    <row r="319" ht="15.75" customHeight="1">
      <c r="D319" s="387"/>
      <c r="Q319" s="11"/>
      <c r="R319" s="392"/>
    </row>
    <row r="320" ht="15.75" customHeight="1">
      <c r="D320" s="387"/>
      <c r="Q320" s="11"/>
      <c r="R320" s="392"/>
    </row>
    <row r="321" ht="15.75" customHeight="1">
      <c r="D321" s="387"/>
      <c r="Q321" s="11"/>
      <c r="R321" s="392"/>
    </row>
    <row r="322" ht="15.75" customHeight="1">
      <c r="D322" s="387"/>
      <c r="Q322" s="11"/>
      <c r="R322" s="392"/>
    </row>
    <row r="323" ht="15.75" customHeight="1">
      <c r="D323" s="387"/>
      <c r="Q323" s="11"/>
      <c r="R323" s="392"/>
    </row>
    <row r="324" ht="15.75" customHeight="1">
      <c r="D324" s="387"/>
      <c r="Q324" s="11"/>
      <c r="R324" s="392"/>
    </row>
    <row r="325" ht="15.75" customHeight="1">
      <c r="D325" s="387"/>
      <c r="Q325" s="11"/>
      <c r="R325" s="392"/>
    </row>
    <row r="326" ht="15.75" customHeight="1">
      <c r="D326" s="387"/>
      <c r="Q326" s="11"/>
      <c r="R326" s="392"/>
    </row>
    <row r="327" ht="15.75" customHeight="1">
      <c r="D327" s="387"/>
      <c r="Q327" s="11"/>
      <c r="R327" s="392"/>
    </row>
    <row r="328" ht="15.75" customHeight="1">
      <c r="D328" s="387"/>
      <c r="Q328" s="11"/>
      <c r="R328" s="392"/>
    </row>
    <row r="329" ht="15.75" customHeight="1">
      <c r="D329" s="387"/>
      <c r="Q329" s="11"/>
      <c r="R329" s="392"/>
    </row>
    <row r="330" ht="15.75" customHeight="1">
      <c r="D330" s="387"/>
      <c r="Q330" s="11"/>
      <c r="R330" s="392"/>
    </row>
    <row r="331" ht="15.75" customHeight="1">
      <c r="D331" s="387"/>
      <c r="Q331" s="11"/>
      <c r="R331" s="392"/>
    </row>
    <row r="332" ht="15.75" customHeight="1">
      <c r="D332" s="387"/>
      <c r="Q332" s="11"/>
      <c r="R332" s="392"/>
    </row>
    <row r="333" ht="15.75" customHeight="1">
      <c r="D333" s="387"/>
      <c r="Q333" s="11"/>
      <c r="R333" s="392"/>
    </row>
    <row r="334" ht="15.75" customHeight="1">
      <c r="D334" s="387"/>
      <c r="Q334" s="11"/>
      <c r="R334" s="392"/>
    </row>
    <row r="335" ht="15.75" customHeight="1">
      <c r="D335" s="387"/>
      <c r="Q335" s="11"/>
      <c r="R335" s="392"/>
    </row>
    <row r="336" ht="15.75" customHeight="1">
      <c r="D336" s="387"/>
      <c r="Q336" s="11"/>
      <c r="R336" s="392"/>
    </row>
    <row r="337" ht="15.75" customHeight="1">
      <c r="D337" s="387"/>
      <c r="Q337" s="11"/>
      <c r="R337" s="392"/>
    </row>
    <row r="338" ht="15.75" customHeight="1">
      <c r="D338" s="387"/>
      <c r="Q338" s="11"/>
      <c r="R338" s="392"/>
    </row>
    <row r="339" ht="15.75" customHeight="1">
      <c r="D339" s="387"/>
      <c r="Q339" s="11"/>
      <c r="R339" s="392"/>
    </row>
    <row r="340" ht="15.75" customHeight="1">
      <c r="D340" s="387"/>
      <c r="Q340" s="11"/>
      <c r="R340" s="392"/>
    </row>
    <row r="341" ht="15.75" customHeight="1">
      <c r="D341" s="387"/>
      <c r="Q341" s="11"/>
      <c r="R341" s="392"/>
    </row>
    <row r="342" ht="15.75" customHeight="1">
      <c r="D342" s="387"/>
      <c r="Q342" s="11"/>
      <c r="R342" s="392"/>
    </row>
    <row r="343" ht="15.75" customHeight="1">
      <c r="D343" s="387"/>
      <c r="Q343" s="11"/>
      <c r="R343" s="392"/>
    </row>
    <row r="344" ht="15.75" customHeight="1">
      <c r="D344" s="387"/>
      <c r="Q344" s="11"/>
      <c r="R344" s="392"/>
    </row>
    <row r="345" ht="15.75" customHeight="1">
      <c r="D345" s="387"/>
      <c r="Q345" s="11"/>
      <c r="R345" s="392"/>
    </row>
    <row r="346" ht="15.75" customHeight="1">
      <c r="D346" s="387"/>
      <c r="Q346" s="11"/>
      <c r="R346" s="392"/>
    </row>
    <row r="347" ht="15.75" customHeight="1">
      <c r="D347" s="387"/>
      <c r="Q347" s="11"/>
      <c r="R347" s="392"/>
    </row>
    <row r="348" ht="15.75" customHeight="1">
      <c r="D348" s="387"/>
      <c r="Q348" s="11"/>
      <c r="R348" s="392"/>
    </row>
    <row r="349" ht="15.75" customHeight="1">
      <c r="D349" s="387"/>
      <c r="Q349" s="11"/>
      <c r="R349" s="392"/>
    </row>
    <row r="350" ht="15.75" customHeight="1">
      <c r="D350" s="387"/>
      <c r="Q350" s="11"/>
      <c r="R350" s="392"/>
    </row>
    <row r="351" ht="15.75" customHeight="1">
      <c r="D351" s="387"/>
      <c r="Q351" s="11"/>
      <c r="R351" s="392"/>
    </row>
    <row r="352" ht="15.75" customHeight="1">
      <c r="D352" s="387"/>
      <c r="Q352" s="11"/>
      <c r="R352" s="392"/>
    </row>
    <row r="353" ht="15.75" customHeight="1">
      <c r="D353" s="387"/>
      <c r="Q353" s="11"/>
      <c r="R353" s="392"/>
    </row>
    <row r="354" ht="15.75" customHeight="1">
      <c r="D354" s="387"/>
      <c r="Q354" s="11"/>
      <c r="R354" s="392"/>
    </row>
    <row r="355" ht="15.75" customHeight="1">
      <c r="D355" s="387"/>
      <c r="Q355" s="11"/>
      <c r="R355" s="392"/>
    </row>
    <row r="356" ht="15.75" customHeight="1">
      <c r="D356" s="387"/>
      <c r="Q356" s="11"/>
      <c r="R356" s="392"/>
    </row>
    <row r="357" ht="15.75" customHeight="1">
      <c r="D357" s="387"/>
      <c r="Q357" s="11"/>
      <c r="R357" s="392"/>
    </row>
    <row r="358" ht="15.75" customHeight="1">
      <c r="D358" s="387"/>
      <c r="Q358" s="11"/>
      <c r="R358" s="392"/>
    </row>
    <row r="359" ht="15.75" customHeight="1">
      <c r="D359" s="387"/>
      <c r="Q359" s="11"/>
      <c r="R359" s="392"/>
    </row>
    <row r="360" ht="15.75" customHeight="1">
      <c r="D360" s="387"/>
      <c r="Q360" s="11"/>
      <c r="R360" s="392"/>
    </row>
    <row r="361" ht="15.75" customHeight="1">
      <c r="D361" s="387"/>
      <c r="Q361" s="11"/>
      <c r="R361" s="392"/>
    </row>
    <row r="362" ht="15.75" customHeight="1">
      <c r="D362" s="387"/>
      <c r="Q362" s="11"/>
      <c r="R362" s="392"/>
    </row>
    <row r="363" ht="15.75" customHeight="1">
      <c r="D363" s="387"/>
      <c r="Q363" s="11"/>
      <c r="R363" s="392"/>
    </row>
    <row r="364" ht="15.75" customHeight="1">
      <c r="D364" s="387"/>
      <c r="Q364" s="11"/>
      <c r="R364" s="392"/>
    </row>
    <row r="365" ht="15.75" customHeight="1">
      <c r="D365" s="387"/>
      <c r="Q365" s="11"/>
      <c r="R365" s="392"/>
    </row>
    <row r="366" ht="15.75" customHeight="1">
      <c r="D366" s="387"/>
      <c r="Q366" s="11"/>
      <c r="R366" s="392"/>
    </row>
    <row r="367" ht="15.75" customHeight="1">
      <c r="D367" s="387"/>
      <c r="Q367" s="11"/>
      <c r="R367" s="392"/>
    </row>
    <row r="368" ht="15.75" customHeight="1">
      <c r="D368" s="387"/>
      <c r="Q368" s="11"/>
      <c r="R368" s="392"/>
    </row>
    <row r="369" ht="15.75" customHeight="1">
      <c r="D369" s="387"/>
      <c r="Q369" s="11"/>
      <c r="R369" s="392"/>
    </row>
    <row r="370" ht="15.75" customHeight="1">
      <c r="D370" s="387"/>
      <c r="Q370" s="11"/>
      <c r="R370" s="392"/>
    </row>
    <row r="371" ht="15.75" customHeight="1">
      <c r="D371" s="387"/>
      <c r="Q371" s="11"/>
      <c r="R371" s="392"/>
    </row>
    <row r="372" ht="15.75" customHeight="1">
      <c r="D372" s="387"/>
      <c r="Q372" s="11"/>
      <c r="R372" s="392"/>
    </row>
    <row r="373" ht="15.75" customHeight="1">
      <c r="D373" s="387"/>
      <c r="Q373" s="11"/>
      <c r="R373" s="392"/>
    </row>
    <row r="374" ht="15.75" customHeight="1">
      <c r="D374" s="387"/>
      <c r="Q374" s="11"/>
      <c r="R374" s="392"/>
    </row>
    <row r="375" ht="15.75" customHeight="1">
      <c r="D375" s="387"/>
      <c r="Q375" s="11"/>
      <c r="R375" s="392"/>
    </row>
    <row r="376" ht="15.75" customHeight="1">
      <c r="D376" s="387"/>
      <c r="Q376" s="11"/>
      <c r="R376" s="392"/>
    </row>
    <row r="377" ht="15.75" customHeight="1">
      <c r="D377" s="387"/>
      <c r="Q377" s="11"/>
      <c r="R377" s="392"/>
    </row>
    <row r="378" ht="15.75" customHeight="1">
      <c r="D378" s="387"/>
      <c r="Q378" s="11"/>
      <c r="R378" s="392"/>
    </row>
    <row r="379" ht="15.75" customHeight="1">
      <c r="D379" s="387"/>
      <c r="Q379" s="11"/>
      <c r="R379" s="392"/>
    </row>
    <row r="380" ht="15.75" customHeight="1">
      <c r="D380" s="387"/>
      <c r="Q380" s="11"/>
      <c r="R380" s="392"/>
    </row>
    <row r="381" ht="15.75" customHeight="1">
      <c r="D381" s="387"/>
      <c r="Q381" s="11"/>
      <c r="R381" s="392"/>
    </row>
    <row r="382" ht="15.75" customHeight="1">
      <c r="D382" s="387"/>
      <c r="Q382" s="11"/>
      <c r="R382" s="392"/>
    </row>
    <row r="383" ht="15.75" customHeight="1">
      <c r="D383" s="387"/>
      <c r="Q383" s="11"/>
      <c r="R383" s="392"/>
    </row>
    <row r="384" ht="15.75" customHeight="1">
      <c r="D384" s="387"/>
      <c r="Q384" s="11"/>
      <c r="R384" s="392"/>
    </row>
    <row r="385" ht="15.75" customHeight="1">
      <c r="D385" s="387"/>
      <c r="Q385" s="11"/>
      <c r="R385" s="392"/>
    </row>
    <row r="386" ht="15.75" customHeight="1">
      <c r="D386" s="387"/>
      <c r="Q386" s="11"/>
      <c r="R386" s="392"/>
    </row>
    <row r="387" ht="15.75" customHeight="1">
      <c r="D387" s="387"/>
      <c r="Q387" s="11"/>
      <c r="R387" s="392"/>
    </row>
    <row r="388" ht="15.75" customHeight="1">
      <c r="D388" s="387"/>
      <c r="Q388" s="11"/>
      <c r="R388" s="392"/>
    </row>
    <row r="389" ht="15.75" customHeight="1">
      <c r="D389" s="387"/>
      <c r="Q389" s="11"/>
      <c r="R389" s="392"/>
    </row>
    <row r="390" ht="15.75" customHeight="1">
      <c r="D390" s="387"/>
      <c r="Q390" s="11"/>
      <c r="R390" s="392"/>
    </row>
    <row r="391" ht="15.75" customHeight="1">
      <c r="D391" s="387"/>
      <c r="Q391" s="11"/>
      <c r="R391" s="392"/>
    </row>
    <row r="392" ht="15.75" customHeight="1">
      <c r="D392" s="387"/>
      <c r="Q392" s="11"/>
      <c r="R392" s="392"/>
    </row>
    <row r="393" ht="15.75" customHeight="1">
      <c r="D393" s="387"/>
      <c r="Q393" s="11"/>
      <c r="R393" s="392"/>
    </row>
    <row r="394" ht="15.75" customHeight="1">
      <c r="D394" s="387"/>
      <c r="Q394" s="11"/>
      <c r="R394" s="392"/>
    </row>
    <row r="395" ht="15.75" customHeight="1">
      <c r="D395" s="387"/>
      <c r="Q395" s="11"/>
      <c r="R395" s="392"/>
    </row>
    <row r="396" ht="15.75" customHeight="1">
      <c r="D396" s="387"/>
      <c r="Q396" s="11"/>
      <c r="R396" s="392"/>
    </row>
    <row r="397" ht="15.75" customHeight="1">
      <c r="D397" s="387"/>
      <c r="Q397" s="11"/>
      <c r="R397" s="392"/>
    </row>
    <row r="398" ht="15.75" customHeight="1">
      <c r="D398" s="387"/>
      <c r="Q398" s="11"/>
      <c r="R398" s="392"/>
    </row>
    <row r="399" ht="15.75" customHeight="1">
      <c r="D399" s="387"/>
      <c r="Q399" s="11"/>
      <c r="R399" s="392"/>
    </row>
    <row r="400" ht="15.75" customHeight="1">
      <c r="D400" s="387"/>
      <c r="Q400" s="11"/>
      <c r="R400" s="392"/>
    </row>
    <row r="401" ht="15.75" customHeight="1">
      <c r="D401" s="387"/>
      <c r="Q401" s="11"/>
      <c r="R401" s="392"/>
    </row>
    <row r="402" ht="15.75" customHeight="1">
      <c r="D402" s="387"/>
      <c r="Q402" s="11"/>
      <c r="R402" s="392"/>
    </row>
    <row r="403" ht="15.75" customHeight="1">
      <c r="D403" s="387"/>
      <c r="Q403" s="11"/>
      <c r="R403" s="392"/>
    </row>
    <row r="404" ht="15.75" customHeight="1">
      <c r="D404" s="387"/>
      <c r="Q404" s="11"/>
      <c r="R404" s="392"/>
    </row>
    <row r="405" ht="15.75" customHeight="1">
      <c r="D405" s="387"/>
      <c r="Q405" s="11"/>
      <c r="R405" s="392"/>
    </row>
    <row r="406" ht="15.75" customHeight="1">
      <c r="D406" s="387"/>
      <c r="Q406" s="11"/>
      <c r="R406" s="392"/>
    </row>
    <row r="407" ht="15.75" customHeight="1">
      <c r="D407" s="387"/>
      <c r="Q407" s="11"/>
      <c r="R407" s="392"/>
    </row>
    <row r="408" ht="15.75" customHeight="1">
      <c r="D408" s="387"/>
      <c r="Q408" s="11"/>
      <c r="R408" s="392"/>
    </row>
    <row r="409" ht="15.75" customHeight="1">
      <c r="D409" s="387"/>
      <c r="Q409" s="11"/>
      <c r="R409" s="392"/>
    </row>
    <row r="410" ht="15.75" customHeight="1">
      <c r="D410" s="387"/>
      <c r="Q410" s="11"/>
      <c r="R410" s="392"/>
    </row>
    <row r="411" ht="15.75" customHeight="1">
      <c r="D411" s="387"/>
      <c r="Q411" s="11"/>
      <c r="R411" s="392"/>
    </row>
    <row r="412" ht="15.75" customHeight="1">
      <c r="D412" s="387"/>
      <c r="Q412" s="11"/>
      <c r="R412" s="392"/>
    </row>
    <row r="413" ht="15.75" customHeight="1">
      <c r="D413" s="387"/>
      <c r="Q413" s="11"/>
      <c r="R413" s="392"/>
    </row>
    <row r="414" ht="15.75" customHeight="1">
      <c r="D414" s="387"/>
      <c r="Q414" s="11"/>
      <c r="R414" s="392"/>
    </row>
    <row r="415" ht="15.75" customHeight="1">
      <c r="D415" s="387"/>
      <c r="Q415" s="11"/>
      <c r="R415" s="392"/>
    </row>
    <row r="416" ht="15.75" customHeight="1">
      <c r="D416" s="387"/>
      <c r="Q416" s="11"/>
      <c r="R416" s="392"/>
    </row>
    <row r="417" ht="15.75" customHeight="1">
      <c r="D417" s="387"/>
      <c r="Q417" s="11"/>
      <c r="R417" s="392"/>
    </row>
    <row r="418" ht="15.75" customHeight="1">
      <c r="D418" s="387"/>
      <c r="Q418" s="11"/>
      <c r="R418" s="392"/>
    </row>
    <row r="419" ht="15.75" customHeight="1">
      <c r="D419" s="387"/>
      <c r="Q419" s="11"/>
      <c r="R419" s="392"/>
    </row>
    <row r="420" ht="15.75" customHeight="1">
      <c r="D420" s="387"/>
      <c r="Q420" s="11"/>
      <c r="R420" s="392"/>
    </row>
    <row r="421" ht="15.75" customHeight="1">
      <c r="D421" s="387"/>
      <c r="Q421" s="11"/>
      <c r="R421" s="392"/>
    </row>
    <row r="422" ht="15.75" customHeight="1">
      <c r="D422" s="387"/>
      <c r="Q422" s="11"/>
      <c r="R422" s="392"/>
    </row>
    <row r="423" ht="15.75" customHeight="1">
      <c r="D423" s="387"/>
      <c r="Q423" s="11"/>
      <c r="R423" s="392"/>
    </row>
    <row r="424" ht="15.75" customHeight="1">
      <c r="D424" s="387"/>
      <c r="Q424" s="11"/>
      <c r="R424" s="392"/>
    </row>
    <row r="425" ht="15.75" customHeight="1">
      <c r="D425" s="387"/>
      <c r="Q425" s="11"/>
      <c r="R425" s="392"/>
    </row>
    <row r="426" ht="15.75" customHeight="1">
      <c r="D426" s="387"/>
      <c r="Q426" s="11"/>
      <c r="R426" s="392"/>
    </row>
    <row r="427" ht="15.75" customHeight="1">
      <c r="D427" s="387"/>
      <c r="Q427" s="11"/>
      <c r="R427" s="392"/>
    </row>
    <row r="428" ht="15.75" customHeight="1">
      <c r="D428" s="387"/>
      <c r="Q428" s="11"/>
      <c r="R428" s="392"/>
    </row>
    <row r="429" ht="15.75" customHeight="1">
      <c r="D429" s="387"/>
      <c r="Q429" s="11"/>
      <c r="R429" s="392"/>
    </row>
    <row r="430" ht="15.75" customHeight="1">
      <c r="D430" s="387"/>
      <c r="Q430" s="11"/>
      <c r="R430" s="392"/>
    </row>
    <row r="431" ht="15.75" customHeight="1">
      <c r="D431" s="387"/>
      <c r="Q431" s="11"/>
      <c r="R431" s="392"/>
    </row>
    <row r="432" ht="15.75" customHeight="1">
      <c r="D432" s="387"/>
      <c r="Q432" s="11"/>
      <c r="R432" s="392"/>
    </row>
    <row r="433" ht="15.75" customHeight="1">
      <c r="D433" s="387"/>
      <c r="Q433" s="11"/>
      <c r="R433" s="392"/>
    </row>
    <row r="434" ht="15.75" customHeight="1">
      <c r="D434" s="387"/>
      <c r="Q434" s="11"/>
      <c r="R434" s="392"/>
    </row>
    <row r="435" ht="15.75" customHeight="1">
      <c r="D435" s="387"/>
      <c r="Q435" s="11"/>
      <c r="R435" s="392"/>
    </row>
    <row r="436" ht="15.75" customHeight="1">
      <c r="D436" s="387"/>
      <c r="Q436" s="11"/>
      <c r="R436" s="392"/>
    </row>
    <row r="437" ht="15.75" customHeight="1">
      <c r="D437" s="387"/>
      <c r="Q437" s="11"/>
      <c r="R437" s="392"/>
    </row>
    <row r="438" ht="15.75" customHeight="1">
      <c r="D438" s="387"/>
      <c r="Q438" s="11"/>
      <c r="R438" s="392"/>
    </row>
    <row r="439" ht="15.75" customHeight="1">
      <c r="D439" s="387"/>
      <c r="Q439" s="11"/>
      <c r="R439" s="392"/>
    </row>
    <row r="440" ht="15.75" customHeight="1">
      <c r="D440" s="387"/>
      <c r="Q440" s="11"/>
      <c r="R440" s="392"/>
    </row>
    <row r="441" ht="15.75" customHeight="1">
      <c r="D441" s="387"/>
      <c r="Q441" s="11"/>
      <c r="R441" s="392"/>
    </row>
    <row r="442" ht="15.75" customHeight="1">
      <c r="D442" s="387"/>
      <c r="Q442" s="11"/>
      <c r="R442" s="392"/>
    </row>
    <row r="443" ht="15.75" customHeight="1">
      <c r="D443" s="387"/>
      <c r="Q443" s="11"/>
      <c r="R443" s="392"/>
    </row>
    <row r="444" ht="15.75" customHeight="1">
      <c r="D444" s="387"/>
      <c r="Q444" s="11"/>
      <c r="R444" s="392"/>
    </row>
    <row r="445" ht="15.75" customHeight="1">
      <c r="D445" s="387"/>
      <c r="Q445" s="11"/>
      <c r="R445" s="392"/>
    </row>
    <row r="446" ht="15.75" customHeight="1">
      <c r="D446" s="387"/>
      <c r="Q446" s="11"/>
      <c r="R446" s="392"/>
    </row>
    <row r="447" ht="15.75" customHeight="1">
      <c r="D447" s="387"/>
      <c r="Q447" s="11"/>
      <c r="R447" s="392"/>
    </row>
    <row r="448" ht="15.75" customHeight="1">
      <c r="D448" s="387"/>
      <c r="Q448" s="11"/>
      <c r="R448" s="392"/>
    </row>
    <row r="449" ht="15.75" customHeight="1">
      <c r="D449" s="387"/>
      <c r="Q449" s="11"/>
      <c r="R449" s="392"/>
    </row>
    <row r="450" ht="15.75" customHeight="1">
      <c r="D450" s="387"/>
      <c r="Q450" s="11"/>
      <c r="R450" s="392"/>
    </row>
    <row r="451" ht="15.75" customHeight="1">
      <c r="D451" s="387"/>
      <c r="Q451" s="11"/>
      <c r="R451" s="392"/>
    </row>
    <row r="452" ht="15.75" customHeight="1">
      <c r="D452" s="387"/>
      <c r="Q452" s="11"/>
      <c r="R452" s="392"/>
    </row>
    <row r="453" ht="15.75" customHeight="1">
      <c r="D453" s="387"/>
      <c r="Q453" s="11"/>
      <c r="R453" s="392"/>
    </row>
    <row r="454" ht="15.75" customHeight="1">
      <c r="D454" s="387"/>
      <c r="Q454" s="11"/>
      <c r="R454" s="392"/>
    </row>
    <row r="455" ht="15.75" customHeight="1">
      <c r="D455" s="387"/>
      <c r="Q455" s="11"/>
      <c r="R455" s="392"/>
    </row>
    <row r="456" ht="15.75" customHeight="1">
      <c r="D456" s="387"/>
      <c r="Q456" s="11"/>
      <c r="R456" s="392"/>
    </row>
    <row r="457" ht="15.75" customHeight="1">
      <c r="D457" s="387"/>
      <c r="Q457" s="11"/>
      <c r="R457" s="392"/>
    </row>
    <row r="458" ht="15.75" customHeight="1">
      <c r="D458" s="387"/>
      <c r="Q458" s="11"/>
      <c r="R458" s="392"/>
    </row>
    <row r="459" ht="15.75" customHeight="1">
      <c r="D459" s="387"/>
      <c r="Q459" s="11"/>
      <c r="R459" s="392"/>
    </row>
    <row r="460" ht="15.75" customHeight="1">
      <c r="D460" s="387"/>
      <c r="Q460" s="11"/>
      <c r="R460" s="392"/>
    </row>
    <row r="461" ht="15.75" customHeight="1">
      <c r="D461" s="387"/>
      <c r="Q461" s="11"/>
      <c r="R461" s="392"/>
    </row>
    <row r="462" ht="15.75" customHeight="1">
      <c r="D462" s="387"/>
      <c r="Q462" s="11"/>
      <c r="R462" s="392"/>
    </row>
    <row r="463" ht="15.75" customHeight="1">
      <c r="D463" s="387"/>
      <c r="Q463" s="11"/>
      <c r="R463" s="392"/>
    </row>
    <row r="464" ht="15.75" customHeight="1">
      <c r="D464" s="387"/>
      <c r="Q464" s="11"/>
      <c r="R464" s="392"/>
    </row>
    <row r="465" ht="15.75" customHeight="1">
      <c r="D465" s="387"/>
      <c r="Q465" s="11"/>
      <c r="R465" s="392"/>
    </row>
    <row r="466" ht="15.75" customHeight="1">
      <c r="D466" s="387"/>
      <c r="Q466" s="11"/>
      <c r="R466" s="392"/>
    </row>
    <row r="467" ht="15.75" customHeight="1">
      <c r="D467" s="387"/>
      <c r="Q467" s="11"/>
      <c r="R467" s="392"/>
    </row>
    <row r="468" ht="15.75" customHeight="1">
      <c r="D468" s="387"/>
      <c r="Q468" s="11"/>
      <c r="R468" s="392"/>
    </row>
    <row r="469" ht="15.75" customHeight="1">
      <c r="D469" s="387"/>
      <c r="Q469" s="11"/>
      <c r="R469" s="392"/>
    </row>
    <row r="470" ht="15.75" customHeight="1">
      <c r="D470" s="387"/>
      <c r="Q470" s="11"/>
      <c r="R470" s="392"/>
    </row>
    <row r="471" ht="15.75" customHeight="1">
      <c r="D471" s="387"/>
      <c r="Q471" s="11"/>
      <c r="R471" s="392"/>
    </row>
    <row r="472" ht="15.75" customHeight="1">
      <c r="D472" s="387"/>
      <c r="Q472" s="11"/>
      <c r="R472" s="392"/>
    </row>
    <row r="473" ht="15.75" customHeight="1">
      <c r="D473" s="387"/>
      <c r="Q473" s="11"/>
      <c r="R473" s="392"/>
    </row>
    <row r="474" ht="15.75" customHeight="1">
      <c r="D474" s="387"/>
      <c r="Q474" s="11"/>
      <c r="R474" s="392"/>
    </row>
    <row r="475" ht="15.75" customHeight="1">
      <c r="D475" s="387"/>
      <c r="Q475" s="11"/>
      <c r="R475" s="392"/>
    </row>
    <row r="476" ht="15.75" customHeight="1">
      <c r="D476" s="387"/>
      <c r="Q476" s="11"/>
      <c r="R476" s="392"/>
    </row>
    <row r="477" ht="15.75" customHeight="1">
      <c r="D477" s="387"/>
      <c r="Q477" s="11"/>
      <c r="R477" s="392"/>
    </row>
    <row r="478" ht="15.75" customHeight="1">
      <c r="D478" s="387"/>
      <c r="Q478" s="11"/>
      <c r="R478" s="392"/>
    </row>
    <row r="479" ht="15.75" customHeight="1">
      <c r="D479" s="387"/>
      <c r="Q479" s="11"/>
      <c r="R479" s="392"/>
    </row>
    <row r="480" ht="15.75" customHeight="1">
      <c r="D480" s="387"/>
      <c r="Q480" s="11"/>
      <c r="R480" s="392"/>
    </row>
    <row r="481" ht="15.75" customHeight="1">
      <c r="D481" s="387"/>
      <c r="Q481" s="11"/>
      <c r="R481" s="392"/>
    </row>
    <row r="482" ht="15.75" customHeight="1">
      <c r="D482" s="387"/>
      <c r="Q482" s="11"/>
      <c r="R482" s="392"/>
    </row>
    <row r="483" ht="15.75" customHeight="1">
      <c r="D483" s="387"/>
      <c r="Q483" s="11"/>
      <c r="R483" s="392"/>
    </row>
    <row r="484" ht="15.75" customHeight="1">
      <c r="D484" s="387"/>
      <c r="Q484" s="11"/>
      <c r="R484" s="392"/>
    </row>
    <row r="485" ht="15.75" customHeight="1">
      <c r="D485" s="387"/>
      <c r="Q485" s="11"/>
      <c r="R485" s="392"/>
    </row>
    <row r="486" ht="15.75" customHeight="1">
      <c r="D486" s="387"/>
      <c r="Q486" s="11"/>
      <c r="R486" s="392"/>
    </row>
    <row r="487" ht="15.75" customHeight="1">
      <c r="D487" s="387"/>
      <c r="Q487" s="11"/>
      <c r="R487" s="392"/>
    </row>
    <row r="488" ht="15.75" customHeight="1">
      <c r="D488" s="387"/>
      <c r="Q488" s="11"/>
      <c r="R488" s="392"/>
    </row>
    <row r="489" ht="15.75" customHeight="1">
      <c r="D489" s="387"/>
      <c r="Q489" s="11"/>
      <c r="R489" s="392"/>
    </row>
    <row r="490" ht="15.75" customHeight="1">
      <c r="D490" s="387"/>
      <c r="Q490" s="11"/>
      <c r="R490" s="392"/>
    </row>
    <row r="491" ht="15.75" customHeight="1">
      <c r="D491" s="387"/>
      <c r="Q491" s="11"/>
      <c r="R491" s="392"/>
    </row>
    <row r="492" ht="15.75" customHeight="1">
      <c r="D492" s="387"/>
      <c r="Q492" s="11"/>
      <c r="R492" s="392"/>
    </row>
    <row r="493" ht="15.75" customHeight="1">
      <c r="D493" s="387"/>
      <c r="Q493" s="11"/>
      <c r="R493" s="392"/>
    </row>
    <row r="494" ht="15.75" customHeight="1">
      <c r="D494" s="387"/>
      <c r="Q494" s="11"/>
      <c r="R494" s="392"/>
    </row>
    <row r="495" ht="15.75" customHeight="1">
      <c r="D495" s="387"/>
      <c r="Q495" s="11"/>
      <c r="R495" s="392"/>
    </row>
    <row r="496" ht="15.75" customHeight="1">
      <c r="D496" s="387"/>
      <c r="Q496" s="11"/>
      <c r="R496" s="392"/>
    </row>
    <row r="497" ht="15.75" customHeight="1">
      <c r="D497" s="387"/>
      <c r="Q497" s="11"/>
      <c r="R497" s="392"/>
    </row>
    <row r="498" ht="15.75" customHeight="1">
      <c r="D498" s="387"/>
      <c r="Q498" s="11"/>
      <c r="R498" s="392"/>
    </row>
    <row r="499" ht="15.75" customHeight="1">
      <c r="D499" s="387"/>
      <c r="Q499" s="11"/>
      <c r="R499" s="392"/>
    </row>
    <row r="500" ht="15.75" customHeight="1">
      <c r="D500" s="387"/>
      <c r="Q500" s="11"/>
      <c r="R500" s="392"/>
    </row>
    <row r="501" ht="15.75" customHeight="1">
      <c r="D501" s="387"/>
      <c r="Q501" s="11"/>
      <c r="R501" s="392"/>
    </row>
    <row r="502" ht="15.75" customHeight="1">
      <c r="D502" s="387"/>
      <c r="Q502" s="11"/>
      <c r="R502" s="392"/>
    </row>
    <row r="503" ht="15.75" customHeight="1">
      <c r="D503" s="387"/>
      <c r="Q503" s="11"/>
      <c r="R503" s="392"/>
    </row>
    <row r="504" ht="15.75" customHeight="1">
      <c r="D504" s="387"/>
      <c r="Q504" s="11"/>
      <c r="R504" s="392"/>
    </row>
    <row r="505" ht="15.75" customHeight="1">
      <c r="D505" s="387"/>
      <c r="Q505" s="11"/>
      <c r="R505" s="392"/>
    </row>
    <row r="506" ht="15.75" customHeight="1">
      <c r="D506" s="387"/>
      <c r="Q506" s="11"/>
      <c r="R506" s="392"/>
    </row>
    <row r="507" ht="15.75" customHeight="1">
      <c r="D507" s="387"/>
      <c r="Q507" s="11"/>
      <c r="R507" s="392"/>
    </row>
    <row r="508" ht="15.75" customHeight="1">
      <c r="D508" s="387"/>
      <c r="Q508" s="11"/>
      <c r="R508" s="392"/>
    </row>
    <row r="509" ht="15.75" customHeight="1">
      <c r="D509" s="387"/>
      <c r="Q509" s="11"/>
      <c r="R509" s="392"/>
    </row>
    <row r="510" ht="15.75" customHeight="1">
      <c r="D510" s="387"/>
      <c r="Q510" s="11"/>
      <c r="R510" s="392"/>
    </row>
    <row r="511" ht="15.75" customHeight="1">
      <c r="D511" s="387"/>
      <c r="Q511" s="11"/>
      <c r="R511" s="392"/>
    </row>
    <row r="512" ht="15.75" customHeight="1">
      <c r="D512" s="387"/>
      <c r="Q512" s="11"/>
      <c r="R512" s="392"/>
    </row>
    <row r="513" ht="15.75" customHeight="1">
      <c r="D513" s="387"/>
      <c r="Q513" s="11"/>
      <c r="R513" s="392"/>
    </row>
    <row r="514" ht="15.75" customHeight="1">
      <c r="D514" s="387"/>
      <c r="Q514" s="11"/>
      <c r="R514" s="392"/>
    </row>
    <row r="515" ht="15.75" customHeight="1">
      <c r="D515" s="387"/>
      <c r="Q515" s="11"/>
      <c r="R515" s="392"/>
    </row>
    <row r="516" ht="15.75" customHeight="1">
      <c r="D516" s="387"/>
      <c r="Q516" s="11"/>
      <c r="R516" s="392"/>
    </row>
    <row r="517" ht="15.75" customHeight="1">
      <c r="D517" s="387"/>
      <c r="Q517" s="11"/>
      <c r="R517" s="392"/>
    </row>
    <row r="518" ht="15.75" customHeight="1">
      <c r="D518" s="387"/>
      <c r="Q518" s="11"/>
      <c r="R518" s="392"/>
    </row>
    <row r="519" ht="15.75" customHeight="1">
      <c r="D519" s="387"/>
      <c r="Q519" s="11"/>
      <c r="R519" s="392"/>
    </row>
    <row r="520" ht="15.75" customHeight="1">
      <c r="D520" s="387"/>
      <c r="Q520" s="11"/>
      <c r="R520" s="392"/>
    </row>
    <row r="521" ht="15.75" customHeight="1">
      <c r="D521" s="387"/>
      <c r="Q521" s="11"/>
      <c r="R521" s="392"/>
    </row>
    <row r="522" ht="15.75" customHeight="1">
      <c r="D522" s="387"/>
      <c r="Q522" s="11"/>
      <c r="R522" s="392"/>
    </row>
    <row r="523" ht="15.75" customHeight="1">
      <c r="D523" s="387"/>
      <c r="Q523" s="11"/>
      <c r="R523" s="392"/>
    </row>
    <row r="524" ht="15.75" customHeight="1">
      <c r="D524" s="387"/>
      <c r="Q524" s="11"/>
      <c r="R524" s="392"/>
    </row>
    <row r="525" ht="15.75" customHeight="1">
      <c r="D525" s="387"/>
      <c r="Q525" s="11"/>
      <c r="R525" s="392"/>
    </row>
    <row r="526" ht="15.75" customHeight="1">
      <c r="D526" s="387"/>
      <c r="Q526" s="11"/>
      <c r="R526" s="392"/>
    </row>
    <row r="527" ht="15.75" customHeight="1">
      <c r="D527" s="387"/>
      <c r="Q527" s="11"/>
      <c r="R527" s="392"/>
    </row>
    <row r="528" ht="15.75" customHeight="1">
      <c r="D528" s="387"/>
      <c r="Q528" s="11"/>
      <c r="R528" s="392"/>
    </row>
    <row r="529" ht="15.75" customHeight="1">
      <c r="D529" s="387"/>
      <c r="Q529" s="11"/>
      <c r="R529" s="392"/>
    </row>
    <row r="530" ht="15.75" customHeight="1">
      <c r="D530" s="387"/>
      <c r="Q530" s="11"/>
      <c r="R530" s="392"/>
    </row>
    <row r="531" ht="15.75" customHeight="1">
      <c r="D531" s="387"/>
      <c r="Q531" s="11"/>
      <c r="R531" s="392"/>
    </row>
    <row r="532" ht="15.75" customHeight="1">
      <c r="D532" s="387"/>
      <c r="Q532" s="11"/>
      <c r="R532" s="392"/>
    </row>
    <row r="533" ht="15.75" customHeight="1">
      <c r="D533" s="387"/>
      <c r="Q533" s="11"/>
      <c r="R533" s="392"/>
    </row>
    <row r="534" ht="15.75" customHeight="1">
      <c r="D534" s="387"/>
      <c r="Q534" s="11"/>
      <c r="R534" s="392"/>
    </row>
    <row r="535" ht="15.75" customHeight="1">
      <c r="D535" s="387"/>
      <c r="Q535" s="11"/>
      <c r="R535" s="392"/>
    </row>
    <row r="536" ht="15.75" customHeight="1">
      <c r="D536" s="387"/>
      <c r="Q536" s="11"/>
      <c r="R536" s="392"/>
    </row>
    <row r="537" ht="15.75" customHeight="1">
      <c r="D537" s="387"/>
      <c r="Q537" s="11"/>
      <c r="R537" s="392"/>
    </row>
    <row r="538" ht="15.75" customHeight="1">
      <c r="D538" s="387"/>
      <c r="Q538" s="11"/>
      <c r="R538" s="392"/>
    </row>
    <row r="539" ht="15.75" customHeight="1">
      <c r="D539" s="387"/>
      <c r="Q539" s="11"/>
      <c r="R539" s="392"/>
    </row>
    <row r="540" ht="15.75" customHeight="1">
      <c r="D540" s="387"/>
      <c r="Q540" s="11"/>
      <c r="R540" s="392"/>
    </row>
    <row r="541" ht="15.75" customHeight="1">
      <c r="D541" s="387"/>
      <c r="Q541" s="11"/>
      <c r="R541" s="392"/>
    </row>
    <row r="542" ht="15.75" customHeight="1">
      <c r="D542" s="387"/>
      <c r="Q542" s="11"/>
      <c r="R542" s="392"/>
    </row>
    <row r="543" ht="15.75" customHeight="1">
      <c r="D543" s="387"/>
      <c r="Q543" s="11"/>
      <c r="R543" s="392"/>
    </row>
    <row r="544" ht="15.75" customHeight="1">
      <c r="D544" s="387"/>
      <c r="Q544" s="11"/>
      <c r="R544" s="392"/>
    </row>
    <row r="545" ht="15.75" customHeight="1">
      <c r="D545" s="387"/>
      <c r="Q545" s="11"/>
      <c r="R545" s="392"/>
    </row>
    <row r="546" ht="15.75" customHeight="1">
      <c r="D546" s="387"/>
      <c r="Q546" s="11"/>
      <c r="R546" s="392"/>
    </row>
    <row r="547" ht="15.75" customHeight="1">
      <c r="D547" s="387"/>
      <c r="Q547" s="11"/>
      <c r="R547" s="392"/>
    </row>
    <row r="548" ht="15.75" customHeight="1">
      <c r="D548" s="387"/>
      <c r="Q548" s="11"/>
      <c r="R548" s="392"/>
    </row>
    <row r="549" ht="15.75" customHeight="1">
      <c r="D549" s="387"/>
      <c r="Q549" s="11"/>
      <c r="R549" s="392"/>
    </row>
    <row r="550" ht="15.75" customHeight="1">
      <c r="D550" s="387"/>
      <c r="Q550" s="11"/>
      <c r="R550" s="392"/>
    </row>
    <row r="551" ht="15.75" customHeight="1">
      <c r="D551" s="387"/>
      <c r="Q551" s="11"/>
      <c r="R551" s="392"/>
    </row>
    <row r="552" ht="15.75" customHeight="1">
      <c r="D552" s="387"/>
      <c r="Q552" s="11"/>
      <c r="R552" s="392"/>
    </row>
    <row r="553" ht="15.75" customHeight="1">
      <c r="D553" s="387"/>
      <c r="Q553" s="11"/>
      <c r="R553" s="392"/>
    </row>
    <row r="554" ht="15.75" customHeight="1">
      <c r="D554" s="387"/>
      <c r="Q554" s="11"/>
      <c r="R554" s="392"/>
    </row>
    <row r="555" ht="15.75" customHeight="1">
      <c r="D555" s="387"/>
      <c r="Q555" s="11"/>
      <c r="R555" s="392"/>
    </row>
    <row r="556" ht="15.75" customHeight="1">
      <c r="D556" s="387"/>
      <c r="Q556" s="11"/>
      <c r="R556" s="392"/>
    </row>
    <row r="557" ht="15.75" customHeight="1">
      <c r="D557" s="387"/>
      <c r="Q557" s="11"/>
      <c r="R557" s="392"/>
    </row>
    <row r="558" ht="15.75" customHeight="1">
      <c r="D558" s="387"/>
      <c r="Q558" s="11"/>
      <c r="R558" s="392"/>
    </row>
    <row r="559" ht="15.75" customHeight="1">
      <c r="D559" s="387"/>
      <c r="Q559" s="11"/>
      <c r="R559" s="392"/>
    </row>
    <row r="560" ht="15.75" customHeight="1">
      <c r="D560" s="387"/>
      <c r="Q560" s="11"/>
      <c r="R560" s="392"/>
    </row>
    <row r="561" ht="15.75" customHeight="1">
      <c r="D561" s="387"/>
      <c r="Q561" s="11"/>
      <c r="R561" s="392"/>
    </row>
    <row r="562" ht="15.75" customHeight="1">
      <c r="D562" s="387"/>
      <c r="Q562" s="11"/>
      <c r="R562" s="392"/>
    </row>
    <row r="563" ht="15.75" customHeight="1">
      <c r="D563" s="387"/>
      <c r="Q563" s="11"/>
      <c r="R563" s="392"/>
    </row>
    <row r="564" ht="15.75" customHeight="1">
      <c r="D564" s="387"/>
      <c r="Q564" s="11"/>
      <c r="R564" s="392"/>
    </row>
    <row r="565" ht="15.75" customHeight="1">
      <c r="D565" s="387"/>
      <c r="Q565" s="11"/>
      <c r="R565" s="392"/>
    </row>
    <row r="566" ht="15.75" customHeight="1">
      <c r="D566" s="387"/>
      <c r="Q566" s="11"/>
      <c r="R566" s="392"/>
    </row>
    <row r="567" ht="15.75" customHeight="1">
      <c r="D567" s="387"/>
      <c r="Q567" s="11"/>
      <c r="R567" s="392"/>
    </row>
    <row r="568" ht="15.75" customHeight="1">
      <c r="D568" s="387"/>
      <c r="Q568" s="11"/>
      <c r="R568" s="392"/>
    </row>
    <row r="569" ht="15.75" customHeight="1">
      <c r="D569" s="387"/>
      <c r="Q569" s="11"/>
      <c r="R569" s="392"/>
    </row>
    <row r="570" ht="15.75" customHeight="1">
      <c r="D570" s="387"/>
      <c r="Q570" s="11"/>
      <c r="R570" s="392"/>
    </row>
    <row r="571" ht="15.75" customHeight="1">
      <c r="D571" s="387"/>
      <c r="Q571" s="11"/>
      <c r="R571" s="392"/>
    </row>
    <row r="572" ht="15.75" customHeight="1">
      <c r="D572" s="387"/>
      <c r="Q572" s="11"/>
      <c r="R572" s="392"/>
    </row>
    <row r="573" ht="15.75" customHeight="1">
      <c r="D573" s="387"/>
      <c r="Q573" s="11"/>
      <c r="R573" s="392"/>
    </row>
    <row r="574" ht="15.75" customHeight="1">
      <c r="D574" s="387"/>
      <c r="Q574" s="11"/>
      <c r="R574" s="392"/>
    </row>
    <row r="575" ht="15.75" customHeight="1">
      <c r="D575" s="387"/>
      <c r="Q575" s="11"/>
      <c r="R575" s="392"/>
    </row>
    <row r="576" ht="15.75" customHeight="1">
      <c r="D576" s="387"/>
      <c r="Q576" s="11"/>
      <c r="R576" s="392"/>
    </row>
    <row r="577" ht="15.75" customHeight="1">
      <c r="D577" s="387"/>
      <c r="Q577" s="11"/>
      <c r="R577" s="392"/>
    </row>
    <row r="578" ht="15.75" customHeight="1">
      <c r="D578" s="387"/>
      <c r="Q578" s="11"/>
      <c r="R578" s="392"/>
    </row>
    <row r="579" ht="15.75" customHeight="1">
      <c r="D579" s="387"/>
      <c r="Q579" s="11"/>
      <c r="R579" s="392"/>
    </row>
    <row r="580" ht="15.75" customHeight="1">
      <c r="D580" s="387"/>
      <c r="Q580" s="11"/>
      <c r="R580" s="392"/>
    </row>
    <row r="581" ht="15.75" customHeight="1">
      <c r="D581" s="387"/>
      <c r="Q581" s="11"/>
      <c r="R581" s="392"/>
    </row>
    <row r="582" ht="15.75" customHeight="1">
      <c r="D582" s="387"/>
      <c r="Q582" s="11"/>
      <c r="R582" s="392"/>
    </row>
    <row r="583" ht="15.75" customHeight="1">
      <c r="D583" s="387"/>
      <c r="Q583" s="11"/>
      <c r="R583" s="392"/>
    </row>
    <row r="584" ht="15.75" customHeight="1">
      <c r="D584" s="387"/>
      <c r="Q584" s="11"/>
      <c r="R584" s="392"/>
    </row>
    <row r="585" ht="15.75" customHeight="1">
      <c r="D585" s="387"/>
      <c r="Q585" s="11"/>
      <c r="R585" s="392"/>
    </row>
    <row r="586" ht="15.75" customHeight="1">
      <c r="D586" s="387"/>
      <c r="Q586" s="11"/>
      <c r="R586" s="392"/>
    </row>
    <row r="587" ht="15.75" customHeight="1">
      <c r="D587" s="387"/>
      <c r="Q587" s="11"/>
      <c r="R587" s="392"/>
    </row>
    <row r="588" ht="15.75" customHeight="1">
      <c r="D588" s="387"/>
      <c r="Q588" s="11"/>
      <c r="R588" s="392"/>
    </row>
    <row r="589" ht="15.75" customHeight="1">
      <c r="D589" s="387"/>
      <c r="Q589" s="11"/>
      <c r="R589" s="392"/>
    </row>
    <row r="590" ht="15.75" customHeight="1">
      <c r="D590" s="387"/>
      <c r="Q590" s="11"/>
      <c r="R590" s="392"/>
    </row>
    <row r="591" ht="15.75" customHeight="1">
      <c r="D591" s="387"/>
      <c r="Q591" s="11"/>
      <c r="R591" s="392"/>
    </row>
    <row r="592" ht="15.75" customHeight="1">
      <c r="D592" s="387"/>
      <c r="Q592" s="11"/>
      <c r="R592" s="392"/>
    </row>
    <row r="593" ht="15.75" customHeight="1">
      <c r="D593" s="387"/>
      <c r="Q593" s="11"/>
      <c r="R593" s="392"/>
    </row>
    <row r="594" ht="15.75" customHeight="1">
      <c r="D594" s="387"/>
      <c r="Q594" s="11"/>
      <c r="R594" s="392"/>
    </row>
    <row r="595" ht="15.75" customHeight="1">
      <c r="D595" s="387"/>
      <c r="Q595" s="11"/>
      <c r="R595" s="392"/>
    </row>
    <row r="596" ht="15.75" customHeight="1">
      <c r="D596" s="387"/>
      <c r="Q596" s="11"/>
      <c r="R596" s="392"/>
    </row>
    <row r="597" ht="15.75" customHeight="1">
      <c r="D597" s="387"/>
      <c r="Q597" s="11"/>
      <c r="R597" s="392"/>
    </row>
    <row r="598" ht="15.75" customHeight="1">
      <c r="D598" s="387"/>
      <c r="Q598" s="11"/>
      <c r="R598" s="392"/>
    </row>
    <row r="599" ht="15.75" customHeight="1">
      <c r="D599" s="387"/>
      <c r="Q599" s="11"/>
      <c r="R599" s="392"/>
    </row>
    <row r="600" ht="15.75" customHeight="1">
      <c r="D600" s="387"/>
      <c r="Q600" s="11"/>
      <c r="R600" s="392"/>
    </row>
    <row r="601" ht="15.75" customHeight="1">
      <c r="D601" s="387"/>
      <c r="Q601" s="11"/>
      <c r="R601" s="392"/>
    </row>
    <row r="602" ht="15.75" customHeight="1">
      <c r="D602" s="387"/>
      <c r="Q602" s="11"/>
      <c r="R602" s="392"/>
    </row>
    <row r="603" ht="15.75" customHeight="1">
      <c r="D603" s="387"/>
      <c r="Q603" s="11"/>
      <c r="R603" s="392"/>
    </row>
    <row r="604" ht="15.75" customHeight="1">
      <c r="D604" s="387"/>
      <c r="Q604" s="11"/>
      <c r="R604" s="392"/>
    </row>
    <row r="605" ht="15.75" customHeight="1">
      <c r="D605" s="387"/>
      <c r="Q605" s="11"/>
      <c r="R605" s="392"/>
    </row>
    <row r="606" ht="15.75" customHeight="1">
      <c r="D606" s="387"/>
      <c r="Q606" s="11"/>
      <c r="R606" s="392"/>
    </row>
    <row r="607" ht="15.75" customHeight="1">
      <c r="D607" s="387"/>
      <c r="Q607" s="11"/>
      <c r="R607" s="392"/>
    </row>
    <row r="608" ht="15.75" customHeight="1">
      <c r="D608" s="387"/>
      <c r="Q608" s="11"/>
      <c r="R608" s="392"/>
    </row>
    <row r="609" ht="15.75" customHeight="1">
      <c r="D609" s="387"/>
      <c r="Q609" s="11"/>
      <c r="R609" s="392"/>
    </row>
    <row r="610" ht="15.75" customHeight="1">
      <c r="D610" s="387"/>
      <c r="Q610" s="11"/>
      <c r="R610" s="392"/>
    </row>
    <row r="611" ht="15.75" customHeight="1">
      <c r="D611" s="387"/>
      <c r="Q611" s="11"/>
      <c r="R611" s="392"/>
    </row>
    <row r="612" ht="15.75" customHeight="1">
      <c r="D612" s="387"/>
      <c r="Q612" s="11"/>
      <c r="R612" s="392"/>
    </row>
    <row r="613" ht="15.75" customHeight="1">
      <c r="D613" s="387"/>
      <c r="Q613" s="11"/>
      <c r="R613" s="392"/>
    </row>
    <row r="614" ht="15.75" customHeight="1">
      <c r="D614" s="387"/>
      <c r="Q614" s="11"/>
      <c r="R614" s="392"/>
    </row>
    <row r="615" ht="15.75" customHeight="1">
      <c r="D615" s="387"/>
      <c r="Q615" s="11"/>
      <c r="R615" s="392"/>
    </row>
    <row r="616" ht="15.75" customHeight="1">
      <c r="D616" s="387"/>
      <c r="Q616" s="11"/>
      <c r="R616" s="392"/>
    </row>
    <row r="617" ht="15.75" customHeight="1">
      <c r="D617" s="387"/>
      <c r="Q617" s="11"/>
      <c r="R617" s="392"/>
    </row>
    <row r="618" ht="15.75" customHeight="1">
      <c r="D618" s="387"/>
      <c r="Q618" s="11"/>
      <c r="R618" s="392"/>
    </row>
    <row r="619" ht="15.75" customHeight="1">
      <c r="D619" s="387"/>
      <c r="Q619" s="11"/>
      <c r="R619" s="392"/>
    </row>
    <row r="620" ht="15.75" customHeight="1">
      <c r="D620" s="387"/>
      <c r="Q620" s="11"/>
      <c r="R620" s="392"/>
    </row>
    <row r="621" ht="15.75" customHeight="1">
      <c r="D621" s="387"/>
      <c r="Q621" s="11"/>
      <c r="R621" s="392"/>
    </row>
    <row r="622" ht="15.75" customHeight="1">
      <c r="D622" s="387"/>
      <c r="Q622" s="11"/>
      <c r="R622" s="392"/>
    </row>
    <row r="623" ht="15.75" customHeight="1">
      <c r="D623" s="387"/>
      <c r="Q623" s="11"/>
      <c r="R623" s="392"/>
    </row>
    <row r="624" ht="15.75" customHeight="1">
      <c r="D624" s="387"/>
      <c r="Q624" s="11"/>
      <c r="R624" s="392"/>
    </row>
    <row r="625" ht="15.75" customHeight="1">
      <c r="D625" s="387"/>
      <c r="Q625" s="11"/>
      <c r="R625" s="392"/>
    </row>
    <row r="626" ht="15.75" customHeight="1">
      <c r="D626" s="387"/>
      <c r="Q626" s="11"/>
      <c r="R626" s="392"/>
    </row>
    <row r="627" ht="15.75" customHeight="1">
      <c r="D627" s="387"/>
      <c r="Q627" s="11"/>
      <c r="R627" s="392"/>
    </row>
    <row r="628" ht="15.75" customHeight="1">
      <c r="D628" s="387"/>
      <c r="Q628" s="11"/>
      <c r="R628" s="392"/>
    </row>
    <row r="629" ht="15.75" customHeight="1">
      <c r="D629" s="387"/>
      <c r="Q629" s="11"/>
      <c r="R629" s="392"/>
    </row>
    <row r="630" ht="15.75" customHeight="1">
      <c r="D630" s="387"/>
      <c r="Q630" s="11"/>
      <c r="R630" s="392"/>
    </row>
    <row r="631" ht="15.75" customHeight="1">
      <c r="D631" s="387"/>
      <c r="Q631" s="11"/>
      <c r="R631" s="392"/>
    </row>
    <row r="632" ht="15.75" customHeight="1">
      <c r="D632" s="387"/>
      <c r="Q632" s="11"/>
      <c r="R632" s="392"/>
    </row>
    <row r="633" ht="15.75" customHeight="1">
      <c r="D633" s="387"/>
      <c r="Q633" s="11"/>
      <c r="R633" s="392"/>
    </row>
    <row r="634" ht="15.75" customHeight="1">
      <c r="D634" s="387"/>
      <c r="Q634" s="11"/>
      <c r="R634" s="392"/>
    </row>
    <row r="635" ht="15.75" customHeight="1">
      <c r="D635" s="387"/>
      <c r="Q635" s="11"/>
      <c r="R635" s="392"/>
    </row>
    <row r="636" ht="15.75" customHeight="1">
      <c r="D636" s="387"/>
      <c r="Q636" s="11"/>
      <c r="R636" s="392"/>
    </row>
    <row r="637" ht="15.75" customHeight="1">
      <c r="D637" s="387"/>
      <c r="Q637" s="11"/>
      <c r="R637" s="392"/>
    </row>
    <row r="638" ht="15.75" customHeight="1">
      <c r="D638" s="387"/>
      <c r="Q638" s="11"/>
      <c r="R638" s="392"/>
    </row>
    <row r="639" ht="15.75" customHeight="1">
      <c r="D639" s="387"/>
      <c r="Q639" s="11"/>
      <c r="R639" s="392"/>
    </row>
    <row r="640" ht="15.75" customHeight="1">
      <c r="D640" s="387"/>
      <c r="Q640" s="11"/>
      <c r="R640" s="392"/>
    </row>
    <row r="641" ht="15.75" customHeight="1">
      <c r="D641" s="387"/>
      <c r="Q641" s="11"/>
      <c r="R641" s="392"/>
    </row>
    <row r="642" ht="15.75" customHeight="1">
      <c r="D642" s="387"/>
      <c r="Q642" s="11"/>
      <c r="R642" s="392"/>
    </row>
    <row r="643" ht="15.75" customHeight="1">
      <c r="D643" s="387"/>
      <c r="Q643" s="11"/>
      <c r="R643" s="392"/>
    </row>
    <row r="644" ht="15.75" customHeight="1">
      <c r="D644" s="387"/>
      <c r="Q644" s="11"/>
      <c r="R644" s="392"/>
    </row>
    <row r="645" ht="15.75" customHeight="1">
      <c r="D645" s="387"/>
      <c r="Q645" s="11"/>
      <c r="R645" s="392"/>
    </row>
    <row r="646" ht="15.75" customHeight="1">
      <c r="D646" s="387"/>
      <c r="Q646" s="11"/>
      <c r="R646" s="392"/>
    </row>
    <row r="647" ht="15.75" customHeight="1">
      <c r="D647" s="387"/>
      <c r="Q647" s="11"/>
      <c r="R647" s="392"/>
    </row>
    <row r="648" ht="15.75" customHeight="1">
      <c r="D648" s="387"/>
      <c r="Q648" s="11"/>
      <c r="R648" s="392"/>
    </row>
    <row r="649" ht="15.75" customHeight="1">
      <c r="D649" s="387"/>
      <c r="Q649" s="11"/>
      <c r="R649" s="392"/>
    </row>
    <row r="650" ht="15.75" customHeight="1">
      <c r="D650" s="387"/>
      <c r="Q650" s="11"/>
      <c r="R650" s="392"/>
    </row>
    <row r="651" ht="15.75" customHeight="1">
      <c r="D651" s="387"/>
      <c r="Q651" s="11"/>
      <c r="R651" s="392"/>
    </row>
    <row r="652" ht="15.75" customHeight="1">
      <c r="D652" s="387"/>
      <c r="Q652" s="11"/>
      <c r="R652" s="392"/>
    </row>
    <row r="653" ht="15.75" customHeight="1">
      <c r="D653" s="387"/>
      <c r="Q653" s="11"/>
      <c r="R653" s="392"/>
    </row>
    <row r="654" ht="15.75" customHeight="1">
      <c r="D654" s="387"/>
      <c r="Q654" s="11"/>
      <c r="R654" s="392"/>
    </row>
    <row r="655" ht="15.75" customHeight="1">
      <c r="D655" s="387"/>
      <c r="Q655" s="11"/>
      <c r="R655" s="392"/>
    </row>
    <row r="656" ht="15.75" customHeight="1">
      <c r="D656" s="387"/>
      <c r="Q656" s="11"/>
      <c r="R656" s="392"/>
    </row>
    <row r="657" ht="15.75" customHeight="1">
      <c r="D657" s="387"/>
      <c r="Q657" s="11"/>
      <c r="R657" s="392"/>
    </row>
    <row r="658" ht="15.75" customHeight="1">
      <c r="D658" s="387"/>
      <c r="Q658" s="11"/>
      <c r="R658" s="392"/>
    </row>
    <row r="659" ht="15.75" customHeight="1">
      <c r="D659" s="387"/>
      <c r="Q659" s="11"/>
      <c r="R659" s="392"/>
    </row>
    <row r="660" ht="15.75" customHeight="1">
      <c r="D660" s="387"/>
      <c r="Q660" s="11"/>
      <c r="R660" s="392"/>
    </row>
    <row r="661" ht="15.75" customHeight="1">
      <c r="D661" s="387"/>
      <c r="Q661" s="11"/>
      <c r="R661" s="392"/>
    </row>
    <row r="662" ht="15.75" customHeight="1">
      <c r="D662" s="387"/>
      <c r="Q662" s="11"/>
      <c r="R662" s="392"/>
    </row>
    <row r="663" ht="15.75" customHeight="1">
      <c r="D663" s="387"/>
      <c r="Q663" s="11"/>
      <c r="R663" s="392"/>
    </row>
    <row r="664" ht="15.75" customHeight="1">
      <c r="D664" s="387"/>
      <c r="Q664" s="11"/>
      <c r="R664" s="392"/>
    </row>
    <row r="665" ht="15.75" customHeight="1">
      <c r="D665" s="387"/>
      <c r="Q665" s="11"/>
      <c r="R665" s="392"/>
    </row>
    <row r="666" ht="15.75" customHeight="1">
      <c r="D666" s="387"/>
      <c r="Q666" s="11"/>
      <c r="R666" s="392"/>
    </row>
    <row r="667" ht="15.75" customHeight="1">
      <c r="D667" s="387"/>
      <c r="Q667" s="11"/>
      <c r="R667" s="392"/>
    </row>
    <row r="668" ht="15.75" customHeight="1">
      <c r="D668" s="387"/>
      <c r="Q668" s="11"/>
      <c r="R668" s="392"/>
    </row>
    <row r="669" ht="15.75" customHeight="1">
      <c r="D669" s="387"/>
      <c r="Q669" s="11"/>
      <c r="R669" s="392"/>
    </row>
    <row r="670" ht="15.75" customHeight="1">
      <c r="D670" s="387"/>
      <c r="Q670" s="11"/>
      <c r="R670" s="392"/>
    </row>
    <row r="671" ht="15.75" customHeight="1">
      <c r="D671" s="387"/>
      <c r="Q671" s="11"/>
      <c r="R671" s="392"/>
    </row>
    <row r="672" ht="15.75" customHeight="1">
      <c r="D672" s="387"/>
      <c r="Q672" s="11"/>
      <c r="R672" s="392"/>
    </row>
    <row r="673" ht="15.75" customHeight="1">
      <c r="D673" s="387"/>
      <c r="Q673" s="11"/>
      <c r="R673" s="392"/>
    </row>
    <row r="674" ht="15.75" customHeight="1">
      <c r="D674" s="387"/>
      <c r="Q674" s="11"/>
      <c r="R674" s="392"/>
    </row>
    <row r="675" ht="15.75" customHeight="1">
      <c r="D675" s="387"/>
      <c r="Q675" s="11"/>
      <c r="R675" s="392"/>
    </row>
    <row r="676" ht="15.75" customHeight="1">
      <c r="D676" s="387"/>
      <c r="Q676" s="11"/>
      <c r="R676" s="392"/>
    </row>
    <row r="677" ht="15.75" customHeight="1">
      <c r="D677" s="387"/>
      <c r="Q677" s="11"/>
      <c r="R677" s="392"/>
    </row>
    <row r="678" ht="15.75" customHeight="1">
      <c r="D678" s="387"/>
      <c r="Q678" s="11"/>
      <c r="R678" s="392"/>
    </row>
    <row r="679" ht="15.75" customHeight="1">
      <c r="D679" s="387"/>
      <c r="Q679" s="11"/>
      <c r="R679" s="392"/>
    </row>
    <row r="680" ht="15.75" customHeight="1">
      <c r="D680" s="387"/>
      <c r="Q680" s="11"/>
      <c r="R680" s="392"/>
    </row>
    <row r="681" ht="15.75" customHeight="1">
      <c r="D681" s="387"/>
      <c r="Q681" s="11"/>
      <c r="R681" s="392"/>
    </row>
    <row r="682" ht="15.75" customHeight="1">
      <c r="D682" s="387"/>
      <c r="Q682" s="11"/>
      <c r="R682" s="392"/>
    </row>
    <row r="683" ht="15.75" customHeight="1">
      <c r="D683" s="387"/>
      <c r="Q683" s="11"/>
      <c r="R683" s="392"/>
    </row>
    <row r="684" ht="15.75" customHeight="1">
      <c r="D684" s="387"/>
      <c r="Q684" s="11"/>
      <c r="R684" s="392"/>
    </row>
    <row r="685" ht="15.75" customHeight="1">
      <c r="D685" s="387"/>
      <c r="Q685" s="11"/>
      <c r="R685" s="392"/>
    </row>
    <row r="686" ht="15.75" customHeight="1">
      <c r="D686" s="387"/>
      <c r="Q686" s="11"/>
      <c r="R686" s="392"/>
    </row>
    <row r="687" ht="15.75" customHeight="1">
      <c r="D687" s="387"/>
      <c r="Q687" s="11"/>
      <c r="R687" s="392"/>
    </row>
    <row r="688" ht="15.75" customHeight="1">
      <c r="D688" s="387"/>
      <c r="Q688" s="11"/>
      <c r="R688" s="392"/>
    </row>
    <row r="689" ht="15.75" customHeight="1">
      <c r="D689" s="387"/>
      <c r="Q689" s="11"/>
      <c r="R689" s="392"/>
    </row>
    <row r="690" ht="15.75" customHeight="1">
      <c r="D690" s="387"/>
      <c r="Q690" s="11"/>
      <c r="R690" s="392"/>
    </row>
    <row r="691" ht="15.75" customHeight="1">
      <c r="D691" s="387"/>
      <c r="Q691" s="11"/>
      <c r="R691" s="392"/>
    </row>
    <row r="692" ht="15.75" customHeight="1">
      <c r="D692" s="387"/>
      <c r="Q692" s="11"/>
      <c r="R692" s="392"/>
    </row>
    <row r="693" ht="15.75" customHeight="1">
      <c r="D693" s="387"/>
      <c r="Q693" s="11"/>
      <c r="R693" s="392"/>
    </row>
    <row r="694" ht="15.75" customHeight="1">
      <c r="D694" s="387"/>
      <c r="Q694" s="11"/>
      <c r="R694" s="392"/>
    </row>
    <row r="695" ht="15.75" customHeight="1">
      <c r="D695" s="387"/>
      <c r="Q695" s="11"/>
      <c r="R695" s="392"/>
    </row>
    <row r="696" ht="15.75" customHeight="1">
      <c r="D696" s="387"/>
      <c r="Q696" s="11"/>
      <c r="R696" s="392"/>
    </row>
    <row r="697" ht="15.75" customHeight="1">
      <c r="D697" s="387"/>
      <c r="Q697" s="11"/>
      <c r="R697" s="392"/>
    </row>
    <row r="698" ht="15.75" customHeight="1">
      <c r="D698" s="387"/>
      <c r="Q698" s="11"/>
      <c r="R698" s="392"/>
    </row>
    <row r="699" ht="15.75" customHeight="1">
      <c r="D699" s="387"/>
      <c r="Q699" s="11"/>
      <c r="R699" s="392"/>
    </row>
    <row r="700" ht="15.75" customHeight="1">
      <c r="D700" s="387"/>
      <c r="Q700" s="11"/>
      <c r="R700" s="392"/>
    </row>
    <row r="701" ht="15.75" customHeight="1">
      <c r="D701" s="387"/>
      <c r="Q701" s="11"/>
      <c r="R701" s="392"/>
    </row>
    <row r="702" ht="15.75" customHeight="1">
      <c r="D702" s="387"/>
      <c r="Q702" s="11"/>
      <c r="R702" s="392"/>
    </row>
    <row r="703" ht="15.75" customHeight="1">
      <c r="D703" s="387"/>
      <c r="Q703" s="11"/>
      <c r="R703" s="392"/>
    </row>
    <row r="704" ht="15.75" customHeight="1">
      <c r="D704" s="387"/>
      <c r="Q704" s="11"/>
      <c r="R704" s="392"/>
    </row>
    <row r="705" ht="15.75" customHeight="1">
      <c r="D705" s="387"/>
      <c r="Q705" s="11"/>
      <c r="R705" s="392"/>
    </row>
    <row r="706" ht="15.75" customHeight="1">
      <c r="D706" s="387"/>
      <c r="Q706" s="11"/>
      <c r="R706" s="392"/>
    </row>
    <row r="707" ht="15.75" customHeight="1">
      <c r="D707" s="387"/>
      <c r="Q707" s="11"/>
      <c r="R707" s="392"/>
    </row>
    <row r="708" ht="15.75" customHeight="1">
      <c r="D708" s="387"/>
      <c r="Q708" s="11"/>
      <c r="R708" s="392"/>
    </row>
    <row r="709" ht="15.75" customHeight="1">
      <c r="D709" s="387"/>
      <c r="Q709" s="11"/>
      <c r="R709" s="392"/>
    </row>
    <row r="710" ht="15.75" customHeight="1">
      <c r="D710" s="387"/>
      <c r="Q710" s="11"/>
      <c r="R710" s="392"/>
    </row>
    <row r="711" ht="15.75" customHeight="1">
      <c r="D711" s="387"/>
      <c r="Q711" s="11"/>
      <c r="R711" s="392"/>
    </row>
    <row r="712" ht="15.75" customHeight="1">
      <c r="D712" s="387"/>
      <c r="Q712" s="11"/>
      <c r="R712" s="392"/>
    </row>
    <row r="713" ht="15.75" customHeight="1">
      <c r="D713" s="387"/>
      <c r="Q713" s="11"/>
      <c r="R713" s="392"/>
    </row>
    <row r="714" ht="15.75" customHeight="1">
      <c r="D714" s="387"/>
      <c r="Q714" s="11"/>
      <c r="R714" s="392"/>
    </row>
    <row r="715" ht="15.75" customHeight="1">
      <c r="D715" s="387"/>
      <c r="Q715" s="11"/>
      <c r="R715" s="392"/>
    </row>
    <row r="716" ht="15.75" customHeight="1">
      <c r="D716" s="387"/>
      <c r="Q716" s="11"/>
      <c r="R716" s="392"/>
    </row>
    <row r="717" ht="15.75" customHeight="1">
      <c r="D717" s="387"/>
      <c r="Q717" s="11"/>
      <c r="R717" s="392"/>
    </row>
    <row r="718" ht="15.75" customHeight="1">
      <c r="D718" s="387"/>
      <c r="Q718" s="11"/>
      <c r="R718" s="392"/>
    </row>
    <row r="719" ht="15.75" customHeight="1">
      <c r="D719" s="387"/>
      <c r="Q719" s="11"/>
      <c r="R719" s="392"/>
    </row>
    <row r="720" ht="15.75" customHeight="1">
      <c r="D720" s="387"/>
      <c r="Q720" s="11"/>
      <c r="R720" s="392"/>
    </row>
    <row r="721" ht="15.75" customHeight="1">
      <c r="D721" s="387"/>
      <c r="Q721" s="11"/>
      <c r="R721" s="392"/>
    </row>
    <row r="722" ht="15.75" customHeight="1">
      <c r="D722" s="387"/>
      <c r="Q722" s="11"/>
      <c r="R722" s="392"/>
    </row>
    <row r="723" ht="15.75" customHeight="1">
      <c r="D723" s="387"/>
      <c r="Q723" s="11"/>
      <c r="R723" s="392"/>
    </row>
    <row r="724" ht="15.75" customHeight="1">
      <c r="D724" s="387"/>
      <c r="Q724" s="11"/>
      <c r="R724" s="392"/>
    </row>
    <row r="725" ht="15.75" customHeight="1">
      <c r="D725" s="387"/>
      <c r="Q725" s="11"/>
      <c r="R725" s="392"/>
    </row>
    <row r="726" ht="15.75" customHeight="1">
      <c r="D726" s="387"/>
      <c r="Q726" s="11"/>
      <c r="R726" s="392"/>
    </row>
    <row r="727" ht="15.75" customHeight="1">
      <c r="D727" s="387"/>
      <c r="Q727" s="11"/>
      <c r="R727" s="392"/>
    </row>
    <row r="728" ht="15.75" customHeight="1">
      <c r="D728" s="387"/>
      <c r="Q728" s="11"/>
      <c r="R728" s="392"/>
    </row>
    <row r="729" ht="15.75" customHeight="1">
      <c r="D729" s="387"/>
      <c r="Q729" s="11"/>
      <c r="R729" s="392"/>
    </row>
    <row r="730" ht="15.75" customHeight="1">
      <c r="D730" s="387"/>
      <c r="Q730" s="11"/>
      <c r="R730" s="392"/>
    </row>
    <row r="731" ht="15.75" customHeight="1">
      <c r="D731" s="387"/>
      <c r="Q731" s="11"/>
      <c r="R731" s="392"/>
    </row>
    <row r="732" ht="15.75" customHeight="1">
      <c r="D732" s="387"/>
      <c r="Q732" s="11"/>
      <c r="R732" s="392"/>
    </row>
    <row r="733" ht="15.75" customHeight="1">
      <c r="D733" s="387"/>
      <c r="Q733" s="11"/>
      <c r="R733" s="392"/>
    </row>
    <row r="734" ht="15.75" customHeight="1">
      <c r="D734" s="387"/>
      <c r="Q734" s="11"/>
      <c r="R734" s="392"/>
    </row>
    <row r="735" ht="15.75" customHeight="1">
      <c r="D735" s="387"/>
      <c r="Q735" s="11"/>
      <c r="R735" s="392"/>
    </row>
    <row r="736" ht="15.75" customHeight="1">
      <c r="D736" s="387"/>
      <c r="Q736" s="11"/>
      <c r="R736" s="392"/>
    </row>
    <row r="737" ht="15.75" customHeight="1">
      <c r="D737" s="387"/>
      <c r="Q737" s="11"/>
      <c r="R737" s="392"/>
    </row>
    <row r="738" ht="15.75" customHeight="1">
      <c r="D738" s="387"/>
      <c r="Q738" s="11"/>
      <c r="R738" s="392"/>
    </row>
    <row r="739" ht="15.75" customHeight="1">
      <c r="D739" s="387"/>
      <c r="Q739" s="11"/>
      <c r="R739" s="392"/>
    </row>
    <row r="740" ht="15.75" customHeight="1">
      <c r="D740" s="387"/>
      <c r="Q740" s="11"/>
      <c r="R740" s="392"/>
    </row>
    <row r="741" ht="15.75" customHeight="1">
      <c r="D741" s="387"/>
      <c r="Q741" s="11"/>
      <c r="R741" s="392"/>
    </row>
    <row r="742" ht="15.75" customHeight="1">
      <c r="D742" s="387"/>
      <c r="Q742" s="11"/>
      <c r="R742" s="392"/>
    </row>
    <row r="743" ht="15.75" customHeight="1">
      <c r="D743" s="387"/>
      <c r="Q743" s="11"/>
      <c r="R743" s="392"/>
    </row>
    <row r="744" ht="15.75" customHeight="1">
      <c r="D744" s="387"/>
      <c r="Q744" s="11"/>
      <c r="R744" s="392"/>
    </row>
    <row r="745" ht="15.75" customHeight="1">
      <c r="D745" s="387"/>
      <c r="Q745" s="11"/>
      <c r="R745" s="392"/>
    </row>
    <row r="746" ht="15.75" customHeight="1">
      <c r="D746" s="387"/>
      <c r="Q746" s="11"/>
      <c r="R746" s="392"/>
    </row>
    <row r="747" ht="15.75" customHeight="1">
      <c r="D747" s="387"/>
      <c r="Q747" s="11"/>
      <c r="R747" s="392"/>
    </row>
    <row r="748" ht="15.75" customHeight="1">
      <c r="D748" s="387"/>
      <c r="Q748" s="11"/>
      <c r="R748" s="392"/>
    </row>
    <row r="749" ht="15.75" customHeight="1">
      <c r="D749" s="387"/>
      <c r="Q749" s="11"/>
      <c r="R749" s="392"/>
    </row>
    <row r="750" ht="15.75" customHeight="1">
      <c r="D750" s="387"/>
      <c r="Q750" s="11"/>
      <c r="R750" s="392"/>
    </row>
    <row r="751" ht="15.75" customHeight="1">
      <c r="D751" s="387"/>
      <c r="Q751" s="11"/>
      <c r="R751" s="392"/>
    </row>
    <row r="752" ht="15.75" customHeight="1">
      <c r="D752" s="387"/>
      <c r="Q752" s="11"/>
      <c r="R752" s="392"/>
    </row>
    <row r="753" ht="15.75" customHeight="1">
      <c r="D753" s="387"/>
      <c r="Q753" s="11"/>
      <c r="R753" s="392"/>
    </row>
    <row r="754" ht="15.75" customHeight="1">
      <c r="D754" s="387"/>
      <c r="Q754" s="11"/>
      <c r="R754" s="392"/>
    </row>
    <row r="755" ht="15.75" customHeight="1">
      <c r="D755" s="387"/>
      <c r="Q755" s="11"/>
      <c r="R755" s="392"/>
    </row>
    <row r="756" ht="15.75" customHeight="1">
      <c r="D756" s="387"/>
      <c r="Q756" s="11"/>
      <c r="R756" s="392"/>
    </row>
    <row r="757" ht="15.75" customHeight="1">
      <c r="D757" s="387"/>
      <c r="Q757" s="11"/>
      <c r="R757" s="392"/>
    </row>
    <row r="758" ht="15.75" customHeight="1">
      <c r="D758" s="387"/>
      <c r="Q758" s="11"/>
      <c r="R758" s="392"/>
    </row>
    <row r="759" ht="15.75" customHeight="1">
      <c r="D759" s="387"/>
      <c r="Q759" s="11"/>
      <c r="R759" s="392"/>
    </row>
    <row r="760" ht="15.75" customHeight="1">
      <c r="D760" s="387"/>
      <c r="Q760" s="11"/>
      <c r="R760" s="392"/>
    </row>
    <row r="761" ht="15.75" customHeight="1">
      <c r="D761" s="387"/>
      <c r="Q761" s="11"/>
      <c r="R761" s="392"/>
    </row>
    <row r="762" ht="15.75" customHeight="1">
      <c r="D762" s="387"/>
      <c r="Q762" s="11"/>
      <c r="R762" s="392"/>
    </row>
    <row r="763" ht="15.75" customHeight="1">
      <c r="D763" s="387"/>
      <c r="Q763" s="11"/>
      <c r="R763" s="392"/>
    </row>
    <row r="764" ht="15.75" customHeight="1">
      <c r="D764" s="387"/>
      <c r="Q764" s="11"/>
      <c r="R764" s="392"/>
    </row>
    <row r="765" ht="15.75" customHeight="1">
      <c r="D765" s="387"/>
      <c r="Q765" s="11"/>
      <c r="R765" s="392"/>
    </row>
    <row r="766" ht="15.75" customHeight="1">
      <c r="D766" s="387"/>
      <c r="Q766" s="11"/>
      <c r="R766" s="392"/>
    </row>
    <row r="767" ht="15.75" customHeight="1">
      <c r="D767" s="387"/>
      <c r="Q767" s="11"/>
      <c r="R767" s="392"/>
    </row>
    <row r="768" ht="15.75" customHeight="1">
      <c r="D768" s="387"/>
      <c r="Q768" s="11"/>
      <c r="R768" s="392"/>
    </row>
    <row r="769" ht="15.75" customHeight="1">
      <c r="D769" s="387"/>
      <c r="Q769" s="11"/>
      <c r="R769" s="392"/>
    </row>
    <row r="770" ht="15.75" customHeight="1">
      <c r="D770" s="387"/>
      <c r="Q770" s="11"/>
      <c r="R770" s="392"/>
    </row>
    <row r="771" ht="15.75" customHeight="1">
      <c r="D771" s="387"/>
      <c r="Q771" s="11"/>
      <c r="R771" s="392"/>
    </row>
    <row r="772" ht="15.75" customHeight="1">
      <c r="D772" s="387"/>
      <c r="Q772" s="11"/>
      <c r="R772" s="392"/>
    </row>
    <row r="773" ht="15.75" customHeight="1">
      <c r="D773" s="387"/>
      <c r="Q773" s="11"/>
      <c r="R773" s="392"/>
    </row>
    <row r="774" ht="15.75" customHeight="1">
      <c r="D774" s="387"/>
      <c r="Q774" s="11"/>
      <c r="R774" s="392"/>
    </row>
    <row r="775" ht="15.75" customHeight="1">
      <c r="D775" s="387"/>
      <c r="Q775" s="11"/>
      <c r="R775" s="392"/>
    </row>
    <row r="776" ht="15.75" customHeight="1">
      <c r="D776" s="387"/>
      <c r="Q776" s="11"/>
      <c r="R776" s="392"/>
    </row>
    <row r="777" ht="15.75" customHeight="1">
      <c r="D777" s="387"/>
      <c r="Q777" s="11"/>
      <c r="R777" s="392"/>
    </row>
    <row r="778" ht="15.75" customHeight="1">
      <c r="D778" s="387"/>
      <c r="Q778" s="11"/>
      <c r="R778" s="392"/>
    </row>
    <row r="779" ht="15.75" customHeight="1">
      <c r="D779" s="387"/>
      <c r="Q779" s="11"/>
      <c r="R779" s="392"/>
    </row>
    <row r="780" ht="15.75" customHeight="1">
      <c r="D780" s="387"/>
      <c r="Q780" s="11"/>
      <c r="R780" s="392"/>
    </row>
    <row r="781" ht="15.75" customHeight="1">
      <c r="D781" s="387"/>
      <c r="Q781" s="11"/>
      <c r="R781" s="392"/>
    </row>
    <row r="782" ht="15.75" customHeight="1">
      <c r="D782" s="387"/>
      <c r="Q782" s="11"/>
      <c r="R782" s="392"/>
    </row>
    <row r="783" ht="15.75" customHeight="1">
      <c r="D783" s="387"/>
      <c r="Q783" s="11"/>
      <c r="R783" s="392"/>
    </row>
    <row r="784" ht="15.75" customHeight="1">
      <c r="D784" s="387"/>
      <c r="Q784" s="11"/>
      <c r="R784" s="392"/>
    </row>
    <row r="785" ht="15.75" customHeight="1">
      <c r="D785" s="387"/>
      <c r="Q785" s="11"/>
      <c r="R785" s="392"/>
    </row>
    <row r="786" ht="15.75" customHeight="1">
      <c r="D786" s="387"/>
      <c r="Q786" s="11"/>
      <c r="R786" s="392"/>
    </row>
    <row r="787" ht="15.75" customHeight="1">
      <c r="D787" s="387"/>
      <c r="Q787" s="11"/>
      <c r="R787" s="392"/>
    </row>
    <row r="788" ht="15.75" customHeight="1">
      <c r="D788" s="387"/>
      <c r="Q788" s="11"/>
      <c r="R788" s="392"/>
    </row>
    <row r="789" ht="15.75" customHeight="1">
      <c r="D789" s="387"/>
      <c r="Q789" s="11"/>
      <c r="R789" s="392"/>
    </row>
    <row r="790" ht="15.75" customHeight="1">
      <c r="D790" s="387"/>
      <c r="Q790" s="11"/>
      <c r="R790" s="392"/>
    </row>
    <row r="791" ht="15.75" customHeight="1">
      <c r="D791" s="387"/>
      <c r="Q791" s="11"/>
      <c r="R791" s="392"/>
    </row>
    <row r="792" ht="15.75" customHeight="1">
      <c r="D792" s="387"/>
      <c r="Q792" s="11"/>
      <c r="R792" s="392"/>
    </row>
    <row r="793" ht="15.75" customHeight="1">
      <c r="D793" s="387"/>
      <c r="Q793" s="11"/>
      <c r="R793" s="392"/>
    </row>
    <row r="794" ht="15.75" customHeight="1">
      <c r="D794" s="387"/>
      <c r="Q794" s="11"/>
      <c r="R794" s="392"/>
    </row>
    <row r="795" ht="15.75" customHeight="1">
      <c r="D795" s="387"/>
      <c r="Q795" s="11"/>
      <c r="R795" s="392"/>
    </row>
    <row r="796" ht="15.75" customHeight="1">
      <c r="D796" s="387"/>
      <c r="Q796" s="11"/>
      <c r="R796" s="392"/>
    </row>
    <row r="797" ht="15.75" customHeight="1">
      <c r="D797" s="387"/>
      <c r="Q797" s="11"/>
      <c r="R797" s="392"/>
    </row>
    <row r="798" ht="15.75" customHeight="1">
      <c r="D798" s="387"/>
      <c r="Q798" s="11"/>
      <c r="R798" s="392"/>
    </row>
    <row r="799" ht="15.75" customHeight="1">
      <c r="D799" s="387"/>
      <c r="Q799" s="11"/>
      <c r="R799" s="392"/>
    </row>
    <row r="800" ht="15.75" customHeight="1">
      <c r="D800" s="387"/>
      <c r="Q800" s="11"/>
      <c r="R800" s="392"/>
    </row>
    <row r="801" ht="15.75" customHeight="1">
      <c r="D801" s="387"/>
      <c r="Q801" s="11"/>
      <c r="R801" s="392"/>
    </row>
    <row r="802" ht="15.75" customHeight="1">
      <c r="D802" s="387"/>
      <c r="Q802" s="11"/>
      <c r="R802" s="392"/>
    </row>
    <row r="803" ht="15.75" customHeight="1">
      <c r="D803" s="387"/>
      <c r="Q803" s="11"/>
      <c r="R803" s="392"/>
    </row>
    <row r="804" ht="15.75" customHeight="1">
      <c r="D804" s="387"/>
      <c r="Q804" s="11"/>
      <c r="R804" s="392"/>
    </row>
    <row r="805" ht="15.75" customHeight="1">
      <c r="D805" s="387"/>
      <c r="Q805" s="11"/>
      <c r="R805" s="392"/>
    </row>
    <row r="806" ht="15.75" customHeight="1">
      <c r="D806" s="387"/>
      <c r="Q806" s="11"/>
      <c r="R806" s="392"/>
    </row>
    <row r="807" ht="15.75" customHeight="1">
      <c r="D807" s="387"/>
      <c r="Q807" s="11"/>
      <c r="R807" s="392"/>
    </row>
    <row r="808" ht="15.75" customHeight="1">
      <c r="D808" s="387"/>
      <c r="Q808" s="11"/>
      <c r="R808" s="392"/>
    </row>
    <row r="809" ht="15.75" customHeight="1">
      <c r="D809" s="387"/>
      <c r="Q809" s="11"/>
      <c r="R809" s="392"/>
    </row>
    <row r="810" ht="15.75" customHeight="1">
      <c r="D810" s="387"/>
      <c r="Q810" s="11"/>
      <c r="R810" s="392"/>
    </row>
    <row r="811" ht="15.75" customHeight="1">
      <c r="D811" s="387"/>
      <c r="Q811" s="11"/>
      <c r="R811" s="392"/>
    </row>
    <row r="812" ht="15.75" customHeight="1">
      <c r="D812" s="387"/>
      <c r="Q812" s="11"/>
      <c r="R812" s="392"/>
    </row>
    <row r="813" ht="15.75" customHeight="1">
      <c r="D813" s="387"/>
      <c r="Q813" s="11"/>
      <c r="R813" s="392"/>
    </row>
    <row r="814" ht="15.75" customHeight="1">
      <c r="D814" s="387"/>
      <c r="Q814" s="11"/>
      <c r="R814" s="392"/>
    </row>
    <row r="815" ht="15.75" customHeight="1">
      <c r="D815" s="387"/>
      <c r="Q815" s="11"/>
      <c r="R815" s="392"/>
    </row>
    <row r="816" ht="15.75" customHeight="1">
      <c r="D816" s="387"/>
      <c r="Q816" s="11"/>
      <c r="R816" s="392"/>
    </row>
    <row r="817" ht="15.75" customHeight="1">
      <c r="D817" s="387"/>
      <c r="Q817" s="11"/>
      <c r="R817" s="392"/>
    </row>
    <row r="818" ht="15.75" customHeight="1">
      <c r="D818" s="387"/>
      <c r="Q818" s="11"/>
      <c r="R818" s="392"/>
    </row>
    <row r="819" ht="15.75" customHeight="1">
      <c r="D819" s="387"/>
      <c r="Q819" s="11"/>
      <c r="R819" s="392"/>
    </row>
    <row r="820" ht="15.75" customHeight="1">
      <c r="D820" s="387"/>
      <c r="Q820" s="11"/>
      <c r="R820" s="392"/>
    </row>
    <row r="821" ht="15.75" customHeight="1">
      <c r="D821" s="387"/>
      <c r="Q821" s="11"/>
      <c r="R821" s="392"/>
    </row>
    <row r="822" ht="15.75" customHeight="1">
      <c r="D822" s="387"/>
      <c r="Q822" s="11"/>
      <c r="R822" s="392"/>
    </row>
    <row r="823" ht="15.75" customHeight="1">
      <c r="D823" s="387"/>
      <c r="Q823" s="11"/>
      <c r="R823" s="392"/>
    </row>
    <row r="824" ht="15.75" customHeight="1">
      <c r="D824" s="387"/>
      <c r="Q824" s="11"/>
      <c r="R824" s="392"/>
    </row>
    <row r="825" ht="15.75" customHeight="1">
      <c r="D825" s="387"/>
      <c r="Q825" s="11"/>
      <c r="R825" s="392"/>
    </row>
    <row r="826" ht="15.75" customHeight="1">
      <c r="D826" s="387"/>
      <c r="Q826" s="11"/>
      <c r="R826" s="392"/>
    </row>
    <row r="827" ht="15.75" customHeight="1">
      <c r="D827" s="387"/>
      <c r="Q827" s="11"/>
      <c r="R827" s="392"/>
    </row>
    <row r="828" ht="15.75" customHeight="1">
      <c r="D828" s="387"/>
      <c r="Q828" s="11"/>
      <c r="R828" s="392"/>
    </row>
    <row r="829" ht="15.75" customHeight="1">
      <c r="D829" s="387"/>
      <c r="Q829" s="11"/>
      <c r="R829" s="392"/>
    </row>
    <row r="830" ht="15.75" customHeight="1">
      <c r="D830" s="387"/>
      <c r="Q830" s="11"/>
      <c r="R830" s="392"/>
    </row>
    <row r="831" ht="15.75" customHeight="1">
      <c r="D831" s="387"/>
      <c r="Q831" s="11"/>
      <c r="R831" s="392"/>
    </row>
    <row r="832" ht="15.75" customHeight="1">
      <c r="D832" s="387"/>
      <c r="Q832" s="11"/>
      <c r="R832" s="392"/>
    </row>
    <row r="833" ht="15.75" customHeight="1">
      <c r="D833" s="387"/>
      <c r="Q833" s="11"/>
      <c r="R833" s="392"/>
    </row>
    <row r="834" ht="15.75" customHeight="1">
      <c r="D834" s="387"/>
      <c r="Q834" s="11"/>
      <c r="R834" s="392"/>
    </row>
    <row r="835" ht="15.75" customHeight="1">
      <c r="D835" s="387"/>
      <c r="Q835" s="11"/>
      <c r="R835" s="392"/>
    </row>
    <row r="836" ht="15.75" customHeight="1">
      <c r="D836" s="387"/>
      <c r="Q836" s="11"/>
      <c r="R836" s="392"/>
    </row>
    <row r="837" ht="15.75" customHeight="1">
      <c r="D837" s="387"/>
      <c r="Q837" s="11"/>
      <c r="R837" s="392"/>
    </row>
    <row r="838" ht="15.75" customHeight="1">
      <c r="D838" s="387"/>
      <c r="Q838" s="11"/>
      <c r="R838" s="392"/>
    </row>
    <row r="839" ht="15.75" customHeight="1">
      <c r="D839" s="387"/>
      <c r="Q839" s="11"/>
      <c r="R839" s="392"/>
    </row>
    <row r="840" ht="15.75" customHeight="1">
      <c r="D840" s="387"/>
      <c r="Q840" s="11"/>
      <c r="R840" s="392"/>
    </row>
    <row r="841" ht="15.75" customHeight="1">
      <c r="D841" s="387"/>
      <c r="Q841" s="11"/>
      <c r="R841" s="392"/>
    </row>
    <row r="842" ht="15.75" customHeight="1">
      <c r="D842" s="387"/>
      <c r="Q842" s="11"/>
      <c r="R842" s="392"/>
    </row>
    <row r="843" ht="15.75" customHeight="1">
      <c r="D843" s="387"/>
      <c r="Q843" s="11"/>
      <c r="R843" s="392"/>
    </row>
    <row r="844" ht="15.75" customHeight="1">
      <c r="D844" s="387"/>
      <c r="Q844" s="11"/>
      <c r="R844" s="392"/>
    </row>
    <row r="845" ht="15.75" customHeight="1">
      <c r="D845" s="387"/>
      <c r="Q845" s="11"/>
      <c r="R845" s="392"/>
    </row>
    <row r="846" ht="15.75" customHeight="1">
      <c r="D846" s="387"/>
      <c r="Q846" s="11"/>
      <c r="R846" s="392"/>
    </row>
    <row r="847" ht="15.75" customHeight="1">
      <c r="D847" s="387"/>
      <c r="Q847" s="11"/>
      <c r="R847" s="392"/>
    </row>
    <row r="848" ht="15.75" customHeight="1">
      <c r="D848" s="387"/>
      <c r="Q848" s="11"/>
      <c r="R848" s="392"/>
    </row>
    <row r="849" ht="15.75" customHeight="1">
      <c r="D849" s="387"/>
      <c r="Q849" s="11"/>
      <c r="R849" s="392"/>
    </row>
    <row r="850" ht="15.75" customHeight="1">
      <c r="D850" s="387"/>
      <c r="Q850" s="11"/>
      <c r="R850" s="392"/>
    </row>
    <row r="851" ht="15.75" customHeight="1">
      <c r="D851" s="387"/>
      <c r="Q851" s="11"/>
      <c r="R851" s="392"/>
    </row>
    <row r="852" ht="15.75" customHeight="1">
      <c r="D852" s="387"/>
      <c r="Q852" s="11"/>
      <c r="R852" s="392"/>
    </row>
    <row r="853" ht="15.75" customHeight="1">
      <c r="D853" s="387"/>
      <c r="Q853" s="11"/>
      <c r="R853" s="392"/>
    </row>
    <row r="854" ht="15.75" customHeight="1">
      <c r="D854" s="387"/>
      <c r="Q854" s="11"/>
      <c r="R854" s="392"/>
    </row>
    <row r="855" ht="15.75" customHeight="1">
      <c r="D855" s="387"/>
      <c r="Q855" s="11"/>
      <c r="R855" s="392"/>
    </row>
    <row r="856" ht="15.75" customHeight="1">
      <c r="D856" s="387"/>
      <c r="Q856" s="11"/>
      <c r="R856" s="392"/>
    </row>
    <row r="857" ht="15.75" customHeight="1">
      <c r="D857" s="387"/>
      <c r="Q857" s="11"/>
      <c r="R857" s="392"/>
    </row>
    <row r="858" ht="15.75" customHeight="1">
      <c r="D858" s="387"/>
      <c r="Q858" s="11"/>
      <c r="R858" s="392"/>
    </row>
    <row r="859" ht="15.75" customHeight="1">
      <c r="D859" s="387"/>
      <c r="Q859" s="11"/>
      <c r="R859" s="392"/>
    </row>
    <row r="860" ht="15.75" customHeight="1">
      <c r="D860" s="387"/>
      <c r="Q860" s="11"/>
      <c r="R860" s="392"/>
    </row>
    <row r="861" ht="15.75" customHeight="1">
      <c r="D861" s="387"/>
      <c r="Q861" s="11"/>
      <c r="R861" s="392"/>
    </row>
    <row r="862" ht="15.75" customHeight="1">
      <c r="D862" s="387"/>
      <c r="Q862" s="11"/>
      <c r="R862" s="392"/>
    </row>
    <row r="863" ht="15.75" customHeight="1">
      <c r="D863" s="387"/>
      <c r="Q863" s="11"/>
      <c r="R863" s="392"/>
    </row>
    <row r="864" ht="15.75" customHeight="1">
      <c r="D864" s="387"/>
      <c r="Q864" s="11"/>
      <c r="R864" s="392"/>
    </row>
    <row r="865" ht="15.75" customHeight="1">
      <c r="D865" s="387"/>
      <c r="Q865" s="11"/>
      <c r="R865" s="392"/>
    </row>
    <row r="866" ht="15.75" customHeight="1">
      <c r="D866" s="387"/>
      <c r="Q866" s="11"/>
      <c r="R866" s="392"/>
    </row>
    <row r="867" ht="15.75" customHeight="1">
      <c r="D867" s="387"/>
      <c r="Q867" s="11"/>
      <c r="R867" s="392"/>
    </row>
    <row r="868" ht="15.75" customHeight="1">
      <c r="D868" s="387"/>
      <c r="Q868" s="11"/>
      <c r="R868" s="392"/>
    </row>
    <row r="869" ht="15.75" customHeight="1">
      <c r="D869" s="387"/>
      <c r="Q869" s="11"/>
      <c r="R869" s="392"/>
    </row>
    <row r="870" ht="15.75" customHeight="1">
      <c r="D870" s="387"/>
      <c r="Q870" s="11"/>
      <c r="R870" s="392"/>
    </row>
    <row r="871" ht="15.75" customHeight="1">
      <c r="D871" s="387"/>
      <c r="Q871" s="11"/>
      <c r="R871" s="392"/>
    </row>
    <row r="872" ht="15.75" customHeight="1">
      <c r="D872" s="387"/>
      <c r="Q872" s="11"/>
      <c r="R872" s="392"/>
    </row>
    <row r="873" ht="15.75" customHeight="1">
      <c r="D873" s="387"/>
      <c r="Q873" s="11"/>
      <c r="R873" s="392"/>
    </row>
    <row r="874" ht="15.75" customHeight="1">
      <c r="D874" s="387"/>
      <c r="Q874" s="11"/>
      <c r="R874" s="392"/>
    </row>
    <row r="875" ht="15.75" customHeight="1">
      <c r="D875" s="387"/>
      <c r="Q875" s="11"/>
      <c r="R875" s="392"/>
    </row>
    <row r="876" ht="15.75" customHeight="1">
      <c r="D876" s="387"/>
      <c r="Q876" s="11"/>
      <c r="R876" s="392"/>
    </row>
    <row r="877" ht="15.75" customHeight="1">
      <c r="D877" s="387"/>
      <c r="Q877" s="11"/>
      <c r="R877" s="392"/>
    </row>
    <row r="878" ht="15.75" customHeight="1">
      <c r="D878" s="387"/>
      <c r="Q878" s="11"/>
      <c r="R878" s="392"/>
    </row>
    <row r="879" ht="15.75" customHeight="1">
      <c r="D879" s="387"/>
      <c r="Q879" s="11"/>
      <c r="R879" s="392"/>
    </row>
    <row r="880" ht="15.75" customHeight="1">
      <c r="D880" s="387"/>
      <c r="Q880" s="11"/>
      <c r="R880" s="392"/>
    </row>
    <row r="881" ht="15.75" customHeight="1">
      <c r="D881" s="387"/>
      <c r="Q881" s="11"/>
      <c r="R881" s="392"/>
    </row>
    <row r="882" ht="15.75" customHeight="1">
      <c r="D882" s="387"/>
      <c r="Q882" s="11"/>
      <c r="R882" s="392"/>
    </row>
    <row r="883" ht="15.75" customHeight="1">
      <c r="D883" s="387"/>
      <c r="Q883" s="11"/>
      <c r="R883" s="392"/>
    </row>
    <row r="884" ht="15.75" customHeight="1">
      <c r="D884" s="387"/>
      <c r="Q884" s="11"/>
      <c r="R884" s="392"/>
    </row>
    <row r="885" ht="15.75" customHeight="1">
      <c r="D885" s="387"/>
      <c r="Q885" s="11"/>
      <c r="R885" s="392"/>
    </row>
    <row r="886" ht="15.75" customHeight="1">
      <c r="D886" s="387"/>
      <c r="Q886" s="11"/>
      <c r="R886" s="392"/>
    </row>
    <row r="887" ht="15.75" customHeight="1">
      <c r="D887" s="387"/>
      <c r="Q887" s="11"/>
      <c r="R887" s="392"/>
    </row>
    <row r="888" ht="15.75" customHeight="1">
      <c r="D888" s="387"/>
      <c r="Q888" s="11"/>
      <c r="R888" s="392"/>
    </row>
    <row r="889" ht="15.75" customHeight="1">
      <c r="D889" s="387"/>
      <c r="Q889" s="11"/>
      <c r="R889" s="392"/>
    </row>
    <row r="890" ht="15.75" customHeight="1">
      <c r="D890" s="387"/>
      <c r="Q890" s="11"/>
      <c r="R890" s="392"/>
    </row>
    <row r="891" ht="15.75" customHeight="1">
      <c r="D891" s="387"/>
      <c r="Q891" s="11"/>
      <c r="R891" s="392"/>
    </row>
    <row r="892" ht="15.75" customHeight="1">
      <c r="D892" s="387"/>
      <c r="Q892" s="11"/>
      <c r="R892" s="392"/>
    </row>
    <row r="893" ht="15.75" customHeight="1">
      <c r="D893" s="387"/>
      <c r="Q893" s="11"/>
      <c r="R893" s="392"/>
    </row>
    <row r="894" ht="15.75" customHeight="1">
      <c r="D894" s="387"/>
      <c r="Q894" s="11"/>
      <c r="R894" s="392"/>
    </row>
    <row r="895" ht="15.75" customHeight="1">
      <c r="D895" s="387"/>
      <c r="Q895" s="11"/>
      <c r="R895" s="392"/>
    </row>
    <row r="896" ht="15.75" customHeight="1">
      <c r="D896" s="387"/>
      <c r="Q896" s="11"/>
      <c r="R896" s="392"/>
    </row>
    <row r="897" ht="15.75" customHeight="1">
      <c r="D897" s="387"/>
      <c r="Q897" s="11"/>
      <c r="R897" s="392"/>
    </row>
    <row r="898" ht="15.75" customHeight="1">
      <c r="D898" s="387"/>
      <c r="Q898" s="11"/>
      <c r="R898" s="392"/>
    </row>
    <row r="899" ht="15.75" customHeight="1">
      <c r="D899" s="387"/>
      <c r="Q899" s="11"/>
      <c r="R899" s="392"/>
    </row>
    <row r="900" ht="15.75" customHeight="1">
      <c r="D900" s="387"/>
      <c r="Q900" s="11"/>
      <c r="R900" s="392"/>
    </row>
    <row r="901" ht="15.75" customHeight="1">
      <c r="D901" s="387"/>
      <c r="Q901" s="11"/>
      <c r="R901" s="392"/>
    </row>
    <row r="902" ht="15.75" customHeight="1">
      <c r="D902" s="387"/>
      <c r="Q902" s="11"/>
      <c r="R902" s="392"/>
    </row>
    <row r="903" ht="15.75" customHeight="1">
      <c r="D903" s="387"/>
      <c r="Q903" s="11"/>
      <c r="R903" s="392"/>
    </row>
    <row r="904" ht="15.75" customHeight="1">
      <c r="D904" s="387"/>
      <c r="Q904" s="11"/>
      <c r="R904" s="392"/>
    </row>
    <row r="905" ht="15.75" customHeight="1">
      <c r="D905" s="387"/>
      <c r="Q905" s="11"/>
      <c r="R905" s="392"/>
    </row>
    <row r="906" ht="15.75" customHeight="1">
      <c r="D906" s="387"/>
      <c r="Q906" s="11"/>
      <c r="R906" s="392"/>
    </row>
    <row r="907" ht="15.75" customHeight="1">
      <c r="D907" s="387"/>
      <c r="Q907" s="11"/>
      <c r="R907" s="392"/>
    </row>
    <row r="908" ht="15.75" customHeight="1">
      <c r="D908" s="387"/>
      <c r="Q908" s="11"/>
      <c r="R908" s="392"/>
    </row>
    <row r="909" ht="15.75" customHeight="1">
      <c r="D909" s="387"/>
      <c r="Q909" s="11"/>
      <c r="R909" s="392"/>
    </row>
    <row r="910" ht="15.75" customHeight="1">
      <c r="D910" s="387"/>
      <c r="Q910" s="11"/>
      <c r="R910" s="392"/>
    </row>
    <row r="911" ht="15.75" customHeight="1">
      <c r="D911" s="387"/>
      <c r="Q911" s="11"/>
      <c r="R911" s="392"/>
    </row>
    <row r="912" ht="15.75" customHeight="1">
      <c r="D912" s="387"/>
      <c r="Q912" s="11"/>
      <c r="R912" s="392"/>
    </row>
    <row r="913" ht="15.75" customHeight="1">
      <c r="D913" s="387"/>
      <c r="Q913" s="11"/>
      <c r="R913" s="392"/>
    </row>
    <row r="914" ht="15.75" customHeight="1">
      <c r="D914" s="387"/>
      <c r="Q914" s="11"/>
      <c r="R914" s="392"/>
    </row>
    <row r="915" ht="15.75" customHeight="1">
      <c r="D915" s="387"/>
      <c r="Q915" s="11"/>
      <c r="R915" s="392"/>
    </row>
    <row r="916" ht="15.75" customHeight="1">
      <c r="D916" s="387"/>
      <c r="Q916" s="11"/>
      <c r="R916" s="392"/>
    </row>
    <row r="917" ht="15.75" customHeight="1">
      <c r="D917" s="387"/>
      <c r="Q917" s="11"/>
      <c r="R917" s="392"/>
    </row>
    <row r="918" ht="15.75" customHeight="1">
      <c r="D918" s="387"/>
      <c r="Q918" s="11"/>
      <c r="R918" s="392"/>
    </row>
    <row r="919" ht="15.75" customHeight="1">
      <c r="D919" s="387"/>
      <c r="Q919" s="11"/>
      <c r="R919" s="392"/>
    </row>
    <row r="920" ht="15.75" customHeight="1">
      <c r="D920" s="387"/>
      <c r="Q920" s="11"/>
      <c r="R920" s="392"/>
    </row>
    <row r="921" ht="15.75" customHeight="1">
      <c r="D921" s="387"/>
      <c r="Q921" s="11"/>
      <c r="R921" s="392"/>
    </row>
    <row r="922" ht="15.75" customHeight="1">
      <c r="D922" s="387"/>
      <c r="Q922" s="11"/>
      <c r="R922" s="392"/>
    </row>
    <row r="923" ht="15.75" customHeight="1">
      <c r="D923" s="387"/>
      <c r="Q923" s="11"/>
      <c r="R923" s="392"/>
    </row>
    <row r="924" ht="15.75" customHeight="1">
      <c r="D924" s="387"/>
      <c r="Q924" s="11"/>
      <c r="R924" s="392"/>
    </row>
    <row r="925" ht="15.75" customHeight="1">
      <c r="D925" s="387"/>
      <c r="Q925" s="11"/>
      <c r="R925" s="392"/>
    </row>
    <row r="926" ht="15.75" customHeight="1">
      <c r="D926" s="387"/>
      <c r="Q926" s="11"/>
      <c r="R926" s="392"/>
    </row>
    <row r="927" ht="15.75" customHeight="1">
      <c r="D927" s="387"/>
      <c r="Q927" s="11"/>
      <c r="R927" s="392"/>
    </row>
    <row r="928" ht="15.75" customHeight="1">
      <c r="D928" s="387"/>
      <c r="Q928" s="11"/>
      <c r="R928" s="392"/>
    </row>
    <row r="929" ht="15.75" customHeight="1">
      <c r="D929" s="387"/>
      <c r="Q929" s="11"/>
      <c r="R929" s="392"/>
    </row>
    <row r="930" ht="15.75" customHeight="1">
      <c r="D930" s="387"/>
      <c r="Q930" s="11"/>
      <c r="R930" s="392"/>
    </row>
    <row r="931" ht="15.75" customHeight="1">
      <c r="D931" s="387"/>
      <c r="Q931" s="11"/>
      <c r="R931" s="392"/>
    </row>
    <row r="932" ht="15.75" customHeight="1">
      <c r="D932" s="387"/>
      <c r="Q932" s="11"/>
      <c r="R932" s="392"/>
    </row>
    <row r="933" ht="15.75" customHeight="1">
      <c r="D933" s="387"/>
      <c r="Q933" s="11"/>
      <c r="R933" s="392"/>
    </row>
    <row r="934" ht="15.75" customHeight="1">
      <c r="D934" s="387"/>
      <c r="Q934" s="11"/>
      <c r="R934" s="392"/>
    </row>
    <row r="935" ht="15.75" customHeight="1">
      <c r="D935" s="387"/>
      <c r="Q935" s="11"/>
      <c r="R935" s="392"/>
    </row>
    <row r="936" ht="15.75" customHeight="1">
      <c r="D936" s="387"/>
      <c r="Q936" s="11"/>
      <c r="R936" s="392"/>
    </row>
    <row r="937" ht="15.75" customHeight="1">
      <c r="D937" s="387"/>
      <c r="Q937" s="11"/>
      <c r="R937" s="392"/>
    </row>
    <row r="938" ht="15.75" customHeight="1">
      <c r="D938" s="387"/>
      <c r="Q938" s="11"/>
      <c r="R938" s="392"/>
    </row>
    <row r="939" ht="15.75" customHeight="1">
      <c r="D939" s="387"/>
      <c r="Q939" s="11"/>
      <c r="R939" s="392"/>
    </row>
    <row r="940" ht="15.75" customHeight="1">
      <c r="D940" s="387"/>
      <c r="Q940" s="11"/>
      <c r="R940" s="392"/>
    </row>
    <row r="941" ht="15.75" customHeight="1">
      <c r="D941" s="387"/>
      <c r="Q941" s="11"/>
      <c r="R941" s="392"/>
    </row>
    <row r="942" ht="15.75" customHeight="1">
      <c r="D942" s="387"/>
      <c r="Q942" s="11"/>
      <c r="R942" s="392"/>
    </row>
    <row r="943" ht="15.75" customHeight="1">
      <c r="D943" s="387"/>
      <c r="Q943" s="11"/>
      <c r="R943" s="392"/>
    </row>
    <row r="944" ht="15.75" customHeight="1">
      <c r="D944" s="387"/>
      <c r="Q944" s="11"/>
      <c r="R944" s="392"/>
    </row>
    <row r="945" ht="15.75" customHeight="1">
      <c r="D945" s="387"/>
      <c r="Q945" s="11"/>
      <c r="R945" s="392"/>
    </row>
    <row r="946" ht="15.75" customHeight="1">
      <c r="D946" s="387"/>
      <c r="Q946" s="11"/>
      <c r="R946" s="392"/>
    </row>
    <row r="947" ht="15.75" customHeight="1">
      <c r="D947" s="387"/>
      <c r="Q947" s="11"/>
      <c r="R947" s="392"/>
    </row>
    <row r="948" ht="15.75" customHeight="1">
      <c r="D948" s="387"/>
      <c r="Q948" s="11"/>
      <c r="R948" s="392"/>
    </row>
    <row r="949" ht="15.75" customHeight="1">
      <c r="D949" s="387"/>
      <c r="Q949" s="11"/>
      <c r="R949" s="392"/>
    </row>
    <row r="950" ht="15.75" customHeight="1">
      <c r="D950" s="387"/>
      <c r="Q950" s="11"/>
      <c r="R950" s="392"/>
    </row>
    <row r="951" ht="15.75" customHeight="1">
      <c r="D951" s="387"/>
      <c r="Q951" s="11"/>
      <c r="R951" s="392"/>
    </row>
    <row r="952" ht="15.75" customHeight="1">
      <c r="D952" s="387"/>
      <c r="Q952" s="11"/>
      <c r="R952" s="392"/>
    </row>
    <row r="953" ht="15.75" customHeight="1">
      <c r="D953" s="387"/>
      <c r="Q953" s="11"/>
      <c r="R953" s="392"/>
    </row>
    <row r="954" ht="15.75" customHeight="1">
      <c r="D954" s="387"/>
      <c r="Q954" s="11"/>
      <c r="R954" s="392"/>
    </row>
    <row r="955" ht="15.75" customHeight="1">
      <c r="D955" s="387"/>
      <c r="Q955" s="11"/>
      <c r="R955" s="392"/>
    </row>
    <row r="956" ht="15.75" customHeight="1">
      <c r="D956" s="387"/>
      <c r="Q956" s="11"/>
      <c r="R956" s="392"/>
    </row>
    <row r="957" ht="15.75" customHeight="1">
      <c r="D957" s="387"/>
      <c r="Q957" s="11"/>
      <c r="R957" s="392"/>
    </row>
    <row r="958" ht="15.75" customHeight="1">
      <c r="D958" s="387"/>
      <c r="Q958" s="11"/>
      <c r="R958" s="392"/>
    </row>
    <row r="959" ht="15.75" customHeight="1">
      <c r="D959" s="387"/>
      <c r="Q959" s="11"/>
      <c r="R959" s="392"/>
    </row>
    <row r="960" ht="15.75" customHeight="1">
      <c r="D960" s="387"/>
      <c r="Q960" s="11"/>
      <c r="R960" s="392"/>
    </row>
    <row r="961" ht="15.75" customHeight="1">
      <c r="D961" s="387"/>
      <c r="Q961" s="11"/>
      <c r="R961" s="392"/>
    </row>
    <row r="962" ht="15.75" customHeight="1">
      <c r="D962" s="387"/>
      <c r="Q962" s="11"/>
      <c r="R962" s="392"/>
    </row>
    <row r="963" ht="15.75" customHeight="1">
      <c r="D963" s="387"/>
      <c r="Q963" s="11"/>
      <c r="R963" s="392"/>
    </row>
    <row r="964" ht="15.75" customHeight="1">
      <c r="D964" s="387"/>
      <c r="Q964" s="11"/>
      <c r="R964" s="392"/>
    </row>
    <row r="965" ht="15.75" customHeight="1">
      <c r="D965" s="387"/>
      <c r="Q965" s="11"/>
      <c r="R965" s="392"/>
    </row>
    <row r="966" ht="15.75" customHeight="1">
      <c r="D966" s="387"/>
      <c r="Q966" s="11"/>
      <c r="R966" s="392"/>
    </row>
    <row r="967" ht="15.75" customHeight="1">
      <c r="D967" s="387"/>
      <c r="Q967" s="11"/>
      <c r="R967" s="392"/>
    </row>
    <row r="968" ht="15.75" customHeight="1">
      <c r="D968" s="387"/>
      <c r="Q968" s="11"/>
      <c r="R968" s="392"/>
    </row>
    <row r="969" ht="15.75" customHeight="1">
      <c r="D969" s="387"/>
      <c r="Q969" s="11"/>
      <c r="R969" s="392"/>
    </row>
    <row r="970" ht="15.75" customHeight="1">
      <c r="D970" s="387"/>
      <c r="Q970" s="11"/>
      <c r="R970" s="392"/>
    </row>
    <row r="971" ht="15.75" customHeight="1">
      <c r="D971" s="387"/>
      <c r="Q971" s="11"/>
      <c r="R971" s="392"/>
    </row>
    <row r="972" ht="15.75" customHeight="1">
      <c r="D972" s="387"/>
      <c r="Q972" s="11"/>
      <c r="R972" s="392"/>
    </row>
    <row r="973" ht="15.75" customHeight="1">
      <c r="D973" s="387"/>
      <c r="Q973" s="11"/>
      <c r="R973" s="392"/>
    </row>
    <row r="974" ht="15.75" customHeight="1">
      <c r="D974" s="387"/>
      <c r="Q974" s="11"/>
      <c r="R974" s="392"/>
    </row>
    <row r="975" ht="15.75" customHeight="1">
      <c r="D975" s="387"/>
      <c r="Q975" s="11"/>
      <c r="R975" s="392"/>
    </row>
    <row r="976" ht="15.75" customHeight="1">
      <c r="D976" s="387"/>
      <c r="Q976" s="11"/>
      <c r="R976" s="392"/>
    </row>
    <row r="977" ht="15.75" customHeight="1">
      <c r="D977" s="387"/>
      <c r="Q977" s="11"/>
      <c r="R977" s="392"/>
    </row>
    <row r="978" ht="15.75" customHeight="1">
      <c r="D978" s="387"/>
      <c r="Q978" s="11"/>
      <c r="R978" s="392"/>
    </row>
    <row r="979" ht="15.75" customHeight="1">
      <c r="D979" s="387"/>
      <c r="Q979" s="11"/>
      <c r="R979" s="392"/>
    </row>
    <row r="980" ht="15.75" customHeight="1">
      <c r="D980" s="387"/>
      <c r="Q980" s="11"/>
      <c r="R980" s="392"/>
    </row>
    <row r="981" ht="15.75" customHeight="1">
      <c r="D981" s="387"/>
      <c r="Q981" s="11"/>
      <c r="R981" s="392"/>
    </row>
    <row r="982" ht="15.75" customHeight="1">
      <c r="D982" s="387"/>
      <c r="Q982" s="11"/>
      <c r="R982" s="392"/>
    </row>
    <row r="983" ht="15.75" customHeight="1">
      <c r="D983" s="387"/>
      <c r="Q983" s="11"/>
      <c r="R983" s="392"/>
    </row>
    <row r="984" ht="15.75" customHeight="1">
      <c r="D984" s="387"/>
      <c r="Q984" s="11"/>
      <c r="R984" s="392"/>
    </row>
    <row r="985" ht="15.75" customHeight="1">
      <c r="D985" s="387"/>
      <c r="Q985" s="11"/>
      <c r="R985" s="392"/>
    </row>
    <row r="986" ht="15.75" customHeight="1">
      <c r="D986" s="387"/>
      <c r="Q986" s="11"/>
      <c r="R986" s="392"/>
    </row>
    <row r="987" ht="15.75" customHeight="1">
      <c r="D987" s="387"/>
      <c r="Q987" s="11"/>
      <c r="R987" s="392"/>
    </row>
    <row r="988" ht="15.75" customHeight="1">
      <c r="D988" s="387"/>
      <c r="Q988" s="11"/>
      <c r="R988" s="392"/>
    </row>
    <row r="989" ht="15.75" customHeight="1">
      <c r="D989" s="387"/>
      <c r="Q989" s="11"/>
      <c r="R989" s="392"/>
    </row>
    <row r="990" ht="15.75" customHeight="1">
      <c r="D990" s="387"/>
      <c r="Q990" s="11"/>
      <c r="R990" s="392"/>
    </row>
    <row r="991" ht="15.75" customHeight="1">
      <c r="D991" s="387"/>
      <c r="Q991" s="11"/>
      <c r="R991" s="392"/>
    </row>
    <row r="992" ht="15.75" customHeight="1">
      <c r="D992" s="387"/>
      <c r="Q992" s="11"/>
      <c r="R992" s="392"/>
    </row>
  </sheetData>
  <autoFilter ref="$B$5:$O$54">
    <sortState ref="B5:O54">
      <sortCondition descending="1" ref="D5:D54"/>
    </sortState>
  </autoFilter>
  <customSheetViews>
    <customSheetView guid="{51569149-E141-4BAE-8E4C-36F8378668C1}" filter="1" showAutoFilter="1">
      <autoFilter ref="$C$5:$C$53"/>
    </customSheetView>
  </customSheetViews>
  <mergeCells count="4">
    <mergeCell ref="A1:R3"/>
    <mergeCell ref="A4:C4"/>
    <mergeCell ref="D4:E4"/>
    <mergeCell ref="F4:J4"/>
  </mergeCells>
  <conditionalFormatting sqref="D21">
    <cfRule type="expression" dxfId="1" priority="1">
      <formula>countif(D:D,D21)&gt;1</formula>
    </cfRule>
  </conditionalFormatting>
  <conditionalFormatting sqref="D21">
    <cfRule type="expression" dxfId="3" priority="2">
      <formula>AND(COUNTIF(D$6:$E1049, D21) &gt; 0, COUNTIF($Y:$Y, D21) &gt; 0)</formula>
    </cfRule>
  </conditionalFormatting>
  <conditionalFormatting sqref="D6:D50 D52">
    <cfRule type="expression" dxfId="1" priority="3">
      <formula>COUNTIF(D:D,D6)&gt;1</formula>
    </cfRule>
  </conditionalFormatting>
  <dataValidations>
    <dataValidation type="list" allowBlank="1" showInputMessage="1" showErrorMessage="1" prompt="Click and enter a value from range" sqref="L6:L53">
      <formula1>jnspwrp</formula1>
    </dataValidation>
    <dataValidation type="custom" allowBlank="1" showDropDown="1" showInputMessage="1" prompt="Duplikasi!! judul yang anda masukkan sudah terdapat pada list sebelumnya" sqref="D7">
      <formula1>countif($D$6:$D850,D7)=1</formula1>
    </dataValidation>
    <dataValidation type="list" allowBlank="1" showErrorMessage="1" sqref="C6:C53">
      <formula1>periodestamp</formula1>
    </dataValidation>
    <dataValidation type="custom" allowBlank="1" showDropDown="1" showInputMessage="1" prompt="Duplikasi!! judul yang anda masukkan sudah terdapat pada list sebelumnya" sqref="D6 D8:D20 D22:D50 D52">
      <formula1>countif($D$6:$D848,D6)=1</formula1>
    </dataValidation>
    <dataValidation type="list" allowBlank="1" showErrorMessage="1" sqref="N6:N53">
      <formula1>mtr</formula1>
    </dataValidation>
    <dataValidation type="list" allowBlank="1" showInputMessage="1" showErrorMessage="1" prompt="Click and enter a value from range" sqref="M6:M53">
      <formula1>stspwrp</formula1>
    </dataValidation>
    <dataValidation type="list" allowBlank="1" showErrorMessage="1" sqref="E6:E53">
      <formula1>kelris</formula1>
    </dataValidation>
    <dataValidation type="list" allowBlank="1" showErrorMessage="1" sqref="F6:J53">
      <formula1>nmperiset</formula1>
    </dataValidation>
    <dataValidation type="custom" allowBlank="1" showDropDown="1" showInputMessage="1" prompt="Duplikasi!! judul yang anda masukkan sudah terdapat pada list sebelumnya" sqref="D21">
      <formula1>countif($E$6:$E1049,#REF!)=1</formula1>
    </dataValidation>
  </dataValidations>
  <hyperlinks>
    <hyperlink r:id="rId1" ref="P6"/>
    <hyperlink r:id="rId2" ref="P7"/>
    <hyperlink r:id="rId3" ref="P8"/>
    <hyperlink r:id="rId4" ref="P9"/>
    <hyperlink r:id="rId5" ref="P10"/>
    <hyperlink r:id="rId6" ref="Q10"/>
    <hyperlink r:id="rId7" ref="R10"/>
    <hyperlink r:id="rId8" ref="P11"/>
    <hyperlink r:id="rId9" ref="P12"/>
    <hyperlink r:id="rId10" ref="P13"/>
    <hyperlink r:id="rId11" ref="P14"/>
    <hyperlink r:id="rId12" ref="P15"/>
    <hyperlink r:id="rId13" ref="P16"/>
    <hyperlink r:id="rId14" ref="P17"/>
    <hyperlink r:id="rId15" ref="Q17"/>
    <hyperlink r:id="rId16" ref="R17"/>
    <hyperlink r:id="rId17" ref="P18"/>
    <hyperlink r:id="rId18" ref="P19"/>
    <hyperlink r:id="rId19" ref="P20"/>
    <hyperlink r:id="rId20" ref="P21"/>
    <hyperlink r:id="rId21" ref="R21"/>
    <hyperlink r:id="rId22" ref="P22"/>
    <hyperlink r:id="rId23" ref="R22"/>
    <hyperlink r:id="rId24" ref="F23"/>
    <hyperlink r:id="rId25" ref="P23"/>
    <hyperlink r:id="rId26" ref="Q23"/>
    <hyperlink r:id="rId27" ref="P24"/>
    <hyperlink r:id="rId28" ref="P25"/>
    <hyperlink r:id="rId29" ref="P26"/>
    <hyperlink r:id="rId30" ref="P27"/>
    <hyperlink r:id="rId31" ref="P28"/>
    <hyperlink r:id="rId32" ref="P29"/>
    <hyperlink r:id="rId33" ref="P30"/>
    <hyperlink r:id="rId34" ref="P31"/>
    <hyperlink r:id="rId35" ref="P32"/>
    <hyperlink r:id="rId36" ref="P33"/>
    <hyperlink r:id="rId37" ref="P34"/>
    <hyperlink r:id="rId38" ref="P35"/>
    <hyperlink r:id="rId39" ref="P36"/>
    <hyperlink r:id="rId40" ref="P37"/>
    <hyperlink r:id="rId41" ref="P38"/>
    <hyperlink r:id="rId42" ref="P39"/>
    <hyperlink r:id="rId43" ref="P40"/>
    <hyperlink r:id="rId44" ref="P41"/>
    <hyperlink r:id="rId45" ref="P42"/>
    <hyperlink r:id="rId46" ref="P43"/>
    <hyperlink r:id="rId47" ref="P44"/>
    <hyperlink r:id="rId48" ref="P45"/>
    <hyperlink r:id="rId49" ref="P46"/>
    <hyperlink r:id="rId50" ref="P47"/>
    <hyperlink r:id="rId51" ref="P48"/>
    <hyperlink r:id="rId52" ref="P49"/>
    <hyperlink r:id="rId53" ref="P50"/>
    <hyperlink r:id="rId54" ref="P51"/>
    <hyperlink r:id="rId55" ref="P52"/>
    <hyperlink r:id="rId56" ref="P53"/>
  </hyperlinks>
  <printOptions/>
  <pageMargins bottom="0.75" footer="0.0" header="0.0" left="0.7" right="0.7" top="0.75"/>
  <pageSetup orientation="landscape"/>
  <drawing r:id="rId5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1.22" defaultRowHeight="15.0"/>
  <cols>
    <col customWidth="1" min="1" max="1" width="3.33"/>
    <col customWidth="1" min="2" max="2" width="11.44"/>
    <col customWidth="1" min="3" max="3" width="12.11"/>
    <col customWidth="1" min="4" max="4" width="43.67"/>
    <col customWidth="1" min="5" max="5" width="23.22"/>
    <col customWidth="1" min="6" max="10" width="17.67"/>
    <col customWidth="1" min="11" max="11" width="11.22"/>
    <col customWidth="1" min="12" max="12" width="12.22"/>
    <col customWidth="1" min="13" max="13" width="9.78"/>
    <col customWidth="1" min="14" max="15" width="12.89"/>
    <col customWidth="1" min="16" max="16" width="25.33"/>
    <col customWidth="1" min="17" max="17" width="11.56"/>
    <col customWidth="1" min="18" max="18" width="9.33"/>
    <col customWidth="1" min="19" max="19" width="10.44"/>
    <col customWidth="1" min="20" max="20" width="9.78"/>
    <col customWidth="1" min="21" max="21" width="16.11"/>
    <col customWidth="1" min="22" max="22" width="13.89"/>
    <col customWidth="1" min="23" max="24" width="16.0"/>
    <col customWidth="1" min="25" max="25" width="81.56"/>
  </cols>
  <sheetData>
    <row r="1">
      <c r="A1" s="393" t="s">
        <v>590</v>
      </c>
      <c r="M1" s="394"/>
      <c r="N1" s="394"/>
      <c r="O1" s="394"/>
      <c r="P1" s="394"/>
      <c r="Q1" s="394"/>
      <c r="R1" s="394"/>
      <c r="S1" s="394"/>
      <c r="T1" s="394"/>
      <c r="U1" s="394"/>
      <c r="V1" s="394"/>
      <c r="W1" s="394"/>
      <c r="X1" s="394"/>
      <c r="Y1" s="394"/>
    </row>
    <row r="2">
      <c r="M2" s="394"/>
      <c r="N2" s="394"/>
      <c r="O2" s="394"/>
      <c r="P2" s="394"/>
      <c r="Q2" s="394"/>
      <c r="R2" s="394"/>
      <c r="S2" s="394"/>
      <c r="T2" s="394"/>
      <c r="U2" s="394"/>
      <c r="V2" s="394"/>
      <c r="W2" s="394"/>
      <c r="X2" s="394"/>
      <c r="Y2" s="394"/>
    </row>
    <row r="3">
      <c r="M3" s="394"/>
      <c r="N3" s="394"/>
      <c r="O3" s="394"/>
      <c r="P3" s="394"/>
      <c r="Q3" s="394"/>
      <c r="R3" s="394"/>
      <c r="S3" s="394"/>
      <c r="T3" s="394"/>
      <c r="U3" s="394"/>
      <c r="V3" s="394"/>
      <c r="W3" s="394"/>
      <c r="X3" s="394"/>
      <c r="Y3" s="394"/>
    </row>
    <row r="4" ht="15.75" customHeight="1">
      <c r="A4" s="211" t="s">
        <v>1</v>
      </c>
      <c r="B4" s="3"/>
      <c r="C4" s="4"/>
      <c r="D4" s="212" t="s">
        <v>2</v>
      </c>
      <c r="E4" s="6"/>
      <c r="F4" s="335" t="s">
        <v>591</v>
      </c>
      <c r="G4" s="8"/>
      <c r="H4" s="9"/>
      <c r="I4" s="395"/>
      <c r="Q4" s="214" t="s">
        <v>592</v>
      </c>
      <c r="R4" s="14"/>
      <c r="S4" s="214" t="s">
        <v>593</v>
      </c>
      <c r="T4" s="14"/>
      <c r="U4" s="396" t="s">
        <v>470</v>
      </c>
      <c r="V4" s="14"/>
      <c r="W4" s="397" t="s">
        <v>594</v>
      </c>
      <c r="X4" s="397" t="s">
        <v>595</v>
      </c>
      <c r="Y4" s="392"/>
    </row>
    <row r="5" ht="15.75" customHeight="1">
      <c r="A5" s="218" t="s">
        <v>5</v>
      </c>
      <c r="B5" s="219" t="s">
        <v>6</v>
      </c>
      <c r="C5" s="219" t="s">
        <v>7</v>
      </c>
      <c r="D5" s="220" t="s">
        <v>9</v>
      </c>
      <c r="E5" s="220" t="s">
        <v>10</v>
      </c>
      <c r="F5" s="220">
        <v>1.0</v>
      </c>
      <c r="G5" s="220">
        <v>2.0</v>
      </c>
      <c r="H5" s="220">
        <v>3.0</v>
      </c>
      <c r="I5" s="221" t="s">
        <v>11</v>
      </c>
      <c r="J5" s="220" t="s">
        <v>596</v>
      </c>
      <c r="K5" s="220" t="s">
        <v>12</v>
      </c>
      <c r="L5" s="220" t="s">
        <v>597</v>
      </c>
      <c r="M5" s="220" t="s">
        <v>598</v>
      </c>
      <c r="N5" s="220" t="s">
        <v>599</v>
      </c>
      <c r="O5" s="220" t="s">
        <v>600</v>
      </c>
      <c r="P5" s="220" t="s">
        <v>601</v>
      </c>
      <c r="Q5" s="222" t="s">
        <v>5</v>
      </c>
      <c r="R5" s="222" t="s">
        <v>471</v>
      </c>
      <c r="S5" s="222" t="s">
        <v>5</v>
      </c>
      <c r="T5" s="222" t="s">
        <v>471</v>
      </c>
      <c r="U5" s="398" t="s">
        <v>472</v>
      </c>
      <c r="V5" s="399" t="s">
        <v>473</v>
      </c>
      <c r="W5" s="400"/>
      <c r="X5" s="400"/>
      <c r="Y5" s="401" t="s">
        <v>20</v>
      </c>
    </row>
    <row r="6" ht="45.0" customHeight="1">
      <c r="A6" s="402">
        <v>1.0</v>
      </c>
      <c r="B6" s="228">
        <f t="shared" ref="B6:B71" si="1">IF(D6&lt;&gt;"",IF(B6="",NOW(),B6),"")</f>
        <v>45356.54581</v>
      </c>
      <c r="C6" s="276" t="s">
        <v>63</v>
      </c>
      <c r="D6" s="68" t="s">
        <v>602</v>
      </c>
      <c r="E6" s="68" t="s">
        <v>23</v>
      </c>
      <c r="F6" s="403" t="s">
        <v>65</v>
      </c>
      <c r="G6" s="267"/>
      <c r="H6" s="267"/>
      <c r="I6" s="259"/>
      <c r="J6" s="266" t="s">
        <v>603</v>
      </c>
      <c r="K6" s="266" t="s">
        <v>604</v>
      </c>
      <c r="L6" s="266" t="s">
        <v>605</v>
      </c>
      <c r="M6" s="266" t="s">
        <v>606</v>
      </c>
      <c r="N6" s="404" t="s">
        <v>607</v>
      </c>
      <c r="O6" s="405">
        <v>7.6E7</v>
      </c>
      <c r="P6" s="266" t="s">
        <v>608</v>
      </c>
      <c r="Q6" s="267"/>
      <c r="R6" s="257"/>
      <c r="S6" s="406" t="s">
        <v>609</v>
      </c>
      <c r="T6" s="234">
        <v>45223.0</v>
      </c>
      <c r="U6" s="37" t="s">
        <v>610</v>
      </c>
      <c r="V6" s="407" t="s">
        <v>481</v>
      </c>
      <c r="W6" s="408"/>
      <c r="X6" s="408"/>
      <c r="Y6" s="408"/>
      <c r="Z6" s="409"/>
      <c r="AA6" s="409"/>
      <c r="AB6" s="409"/>
    </row>
    <row r="7" ht="45.0" customHeight="1">
      <c r="A7" s="402">
        <v>2.0</v>
      </c>
      <c r="B7" s="228">
        <f t="shared" si="1"/>
        <v>45356.55385</v>
      </c>
      <c r="C7" s="276" t="s">
        <v>63</v>
      </c>
      <c r="D7" s="68" t="s">
        <v>611</v>
      </c>
      <c r="E7" s="68" t="s">
        <v>46</v>
      </c>
      <c r="F7" s="410" t="s">
        <v>612</v>
      </c>
      <c r="G7" s="267"/>
      <c r="H7" s="267"/>
      <c r="I7" s="259"/>
      <c r="J7" s="266" t="s">
        <v>603</v>
      </c>
      <c r="K7" s="266" t="s">
        <v>604</v>
      </c>
      <c r="L7" s="266" t="s">
        <v>605</v>
      </c>
      <c r="M7" s="266" t="s">
        <v>606</v>
      </c>
      <c r="N7" s="404" t="s">
        <v>607</v>
      </c>
      <c r="O7" s="405">
        <v>1.58E8</v>
      </c>
      <c r="P7" s="266" t="s">
        <v>608</v>
      </c>
      <c r="Q7" s="267"/>
      <c r="R7" s="257"/>
      <c r="S7" s="406" t="s">
        <v>609</v>
      </c>
      <c r="T7" s="234">
        <v>45223.0</v>
      </c>
      <c r="U7" s="37" t="s">
        <v>610</v>
      </c>
      <c r="V7" s="407" t="s">
        <v>481</v>
      </c>
      <c r="W7" s="408"/>
      <c r="X7" s="408"/>
      <c r="Y7" s="408"/>
      <c r="Z7" s="409"/>
      <c r="AA7" s="409"/>
      <c r="AB7" s="409"/>
    </row>
    <row r="8" ht="45.0" customHeight="1">
      <c r="A8" s="402">
        <v>3.0</v>
      </c>
      <c r="B8" s="228">
        <f t="shared" si="1"/>
        <v>45444.44641</v>
      </c>
      <c r="C8" s="276" t="s">
        <v>156</v>
      </c>
      <c r="D8" s="411" t="s">
        <v>613</v>
      </c>
      <c r="E8" s="411" t="s">
        <v>34</v>
      </c>
      <c r="F8" s="403" t="s">
        <v>208</v>
      </c>
      <c r="G8" s="267"/>
      <c r="H8" s="267"/>
      <c r="I8" s="259"/>
      <c r="J8" s="266" t="s">
        <v>603</v>
      </c>
      <c r="K8" s="266" t="s">
        <v>604</v>
      </c>
      <c r="L8" s="266" t="s">
        <v>605</v>
      </c>
      <c r="M8" s="266" t="s">
        <v>606</v>
      </c>
      <c r="N8" s="404" t="s">
        <v>614</v>
      </c>
      <c r="O8" s="405">
        <v>9.0E7</v>
      </c>
      <c r="P8" s="266" t="s">
        <v>615</v>
      </c>
      <c r="Q8" s="267"/>
      <c r="R8" s="257"/>
      <c r="S8" s="406" t="s">
        <v>616</v>
      </c>
      <c r="T8" s="234">
        <v>45028.0</v>
      </c>
      <c r="U8" s="37" t="s">
        <v>610</v>
      </c>
      <c r="V8" s="407" t="s">
        <v>481</v>
      </c>
      <c r="W8" s="408"/>
      <c r="X8" s="408"/>
      <c r="Y8" s="408"/>
      <c r="Z8" s="409"/>
      <c r="AA8" s="409"/>
      <c r="AB8" s="409"/>
    </row>
    <row r="9" ht="73.5" customHeight="1">
      <c r="A9" s="402">
        <v>4.0</v>
      </c>
      <c r="B9" s="228">
        <f t="shared" si="1"/>
        <v>45444.46116</v>
      </c>
      <c r="C9" s="276" t="s">
        <v>156</v>
      </c>
      <c r="D9" s="411" t="s">
        <v>617</v>
      </c>
      <c r="E9" s="411" t="s">
        <v>34</v>
      </c>
      <c r="F9" s="403" t="s">
        <v>208</v>
      </c>
      <c r="G9" s="267"/>
      <c r="H9" s="267"/>
      <c r="I9" s="259"/>
      <c r="J9" s="267"/>
      <c r="K9" s="267"/>
      <c r="L9" s="267"/>
      <c r="M9" s="266" t="s">
        <v>618</v>
      </c>
      <c r="N9" s="412"/>
      <c r="O9" s="405">
        <v>2.0E8</v>
      </c>
      <c r="P9" s="266" t="s">
        <v>619</v>
      </c>
      <c r="Q9" s="267"/>
      <c r="R9" s="257"/>
      <c r="S9" s="268" t="s">
        <v>620</v>
      </c>
      <c r="T9" s="257"/>
      <c r="U9" s="37" t="s">
        <v>610</v>
      </c>
      <c r="V9" s="307"/>
      <c r="W9" s="413"/>
      <c r="X9" s="413"/>
      <c r="Y9" s="413" t="s">
        <v>621</v>
      </c>
      <c r="Z9" s="409"/>
      <c r="AA9" s="409"/>
      <c r="AB9" s="409"/>
    </row>
    <row r="10" ht="45.0" customHeight="1">
      <c r="A10" s="402">
        <v>5.0</v>
      </c>
      <c r="B10" s="228">
        <f t="shared" si="1"/>
        <v>45444.46752</v>
      </c>
      <c r="C10" s="276" t="s">
        <v>156</v>
      </c>
      <c r="D10" s="411" t="s">
        <v>622</v>
      </c>
      <c r="E10" s="411" t="s">
        <v>34</v>
      </c>
      <c r="F10" s="403" t="s">
        <v>37</v>
      </c>
      <c r="G10" s="267"/>
      <c r="H10" s="267"/>
      <c r="I10" s="268" t="s">
        <v>623</v>
      </c>
      <c r="J10" s="266" t="s">
        <v>603</v>
      </c>
      <c r="K10" s="266" t="s">
        <v>604</v>
      </c>
      <c r="L10" s="266" t="s">
        <v>624</v>
      </c>
      <c r="M10" s="266" t="s">
        <v>618</v>
      </c>
      <c r="N10" s="404" t="s">
        <v>625</v>
      </c>
      <c r="O10" s="405">
        <v>2.9E7</v>
      </c>
      <c r="P10" s="414" t="s">
        <v>626</v>
      </c>
      <c r="Q10" s="267"/>
      <c r="R10" s="257"/>
      <c r="S10" s="415" t="s">
        <v>626</v>
      </c>
      <c r="T10" s="234">
        <v>45454.0</v>
      </c>
      <c r="U10" s="37" t="s">
        <v>610</v>
      </c>
      <c r="V10" s="407" t="s">
        <v>481</v>
      </c>
      <c r="W10" s="413"/>
      <c r="X10" s="413"/>
      <c r="Y10" s="413" t="s">
        <v>627</v>
      </c>
      <c r="Z10" s="409"/>
      <c r="AA10" s="409"/>
      <c r="AB10" s="409"/>
    </row>
    <row r="11" ht="45.0" customHeight="1">
      <c r="A11" s="402">
        <v>6.0</v>
      </c>
      <c r="B11" s="228">
        <f t="shared" si="1"/>
        <v>45444.52426</v>
      </c>
      <c r="C11" s="281"/>
      <c r="D11" s="411" t="s">
        <v>628</v>
      </c>
      <c r="E11" s="411" t="s">
        <v>46</v>
      </c>
      <c r="F11" s="403" t="s">
        <v>47</v>
      </c>
      <c r="G11" s="267"/>
      <c r="H11" s="267"/>
      <c r="I11" s="268" t="s">
        <v>629</v>
      </c>
      <c r="J11" s="266" t="s">
        <v>603</v>
      </c>
      <c r="K11" s="266" t="s">
        <v>604</v>
      </c>
      <c r="L11" s="266" t="s">
        <v>624</v>
      </c>
      <c r="M11" s="266" t="s">
        <v>618</v>
      </c>
      <c r="N11" s="412"/>
      <c r="O11" s="405">
        <v>1.0E8</v>
      </c>
      <c r="P11" s="266" t="s">
        <v>630</v>
      </c>
      <c r="Q11" s="267"/>
      <c r="R11" s="257"/>
      <c r="S11" s="267"/>
      <c r="T11" s="257"/>
      <c r="U11" s="37" t="s">
        <v>610</v>
      </c>
      <c r="V11" s="307"/>
      <c r="W11" s="413"/>
      <c r="X11" s="413"/>
      <c r="Y11" s="413" t="s">
        <v>631</v>
      </c>
      <c r="Z11" s="409"/>
      <c r="AA11" s="409"/>
      <c r="AB11" s="409"/>
    </row>
    <row r="12" ht="45.0" customHeight="1">
      <c r="A12" s="402">
        <v>7.0</v>
      </c>
      <c r="B12" s="228">
        <f t="shared" si="1"/>
        <v>45444.52426</v>
      </c>
      <c r="C12" s="281"/>
      <c r="D12" s="411" t="s">
        <v>632</v>
      </c>
      <c r="E12" s="411" t="s">
        <v>46</v>
      </c>
      <c r="F12" s="403" t="s">
        <v>47</v>
      </c>
      <c r="G12" s="267"/>
      <c r="H12" s="267"/>
      <c r="I12" s="268" t="s">
        <v>633</v>
      </c>
      <c r="J12" s="266" t="s">
        <v>603</v>
      </c>
      <c r="K12" s="266" t="s">
        <v>604</v>
      </c>
      <c r="L12" s="266" t="s">
        <v>624</v>
      </c>
      <c r="M12" s="266" t="s">
        <v>618</v>
      </c>
      <c r="N12" s="412"/>
      <c r="O12" s="405">
        <v>1.0E8</v>
      </c>
      <c r="P12" s="266" t="s">
        <v>630</v>
      </c>
      <c r="Q12" s="267"/>
      <c r="R12" s="257"/>
      <c r="S12" s="267"/>
      <c r="T12" s="257"/>
      <c r="U12" s="37" t="s">
        <v>610</v>
      </c>
      <c r="V12" s="307"/>
      <c r="W12" s="413"/>
      <c r="X12" s="413"/>
      <c r="Y12" s="413" t="s">
        <v>631</v>
      </c>
      <c r="Z12" s="409"/>
      <c r="AA12" s="409"/>
      <c r="AB12" s="409"/>
    </row>
    <row r="13" ht="45.0" customHeight="1">
      <c r="A13" s="402">
        <v>8.0</v>
      </c>
      <c r="B13" s="228">
        <f t="shared" si="1"/>
        <v>45444.52426</v>
      </c>
      <c r="C13" s="281"/>
      <c r="D13" s="411" t="s">
        <v>634</v>
      </c>
      <c r="E13" s="411" t="s">
        <v>46</v>
      </c>
      <c r="F13" s="403" t="s">
        <v>125</v>
      </c>
      <c r="G13" s="266" t="s">
        <v>418</v>
      </c>
      <c r="H13" s="266" t="s">
        <v>124</v>
      </c>
      <c r="I13" s="268" t="s">
        <v>576</v>
      </c>
      <c r="J13" s="266" t="s">
        <v>635</v>
      </c>
      <c r="K13" s="266" t="s">
        <v>604</v>
      </c>
      <c r="L13" s="266" t="s">
        <v>624</v>
      </c>
      <c r="M13" s="266" t="s">
        <v>618</v>
      </c>
      <c r="N13" s="404" t="s">
        <v>636</v>
      </c>
      <c r="O13" s="405">
        <v>1.92422E8</v>
      </c>
      <c r="P13" s="268" t="s">
        <v>637</v>
      </c>
      <c r="Q13" s="266"/>
      <c r="R13" s="257"/>
      <c r="S13" s="267"/>
      <c r="T13" s="257"/>
      <c r="U13" s="37" t="s">
        <v>610</v>
      </c>
      <c r="V13" s="407" t="s">
        <v>489</v>
      </c>
      <c r="W13" s="413"/>
      <c r="X13" s="413"/>
      <c r="Y13" s="413" t="s">
        <v>638</v>
      </c>
      <c r="Z13" s="409"/>
      <c r="AA13" s="409"/>
      <c r="AB13" s="409"/>
    </row>
    <row r="14" ht="45.0" customHeight="1">
      <c r="A14" s="402">
        <v>9.0</v>
      </c>
      <c r="B14" s="228">
        <f t="shared" si="1"/>
        <v>45444.54819</v>
      </c>
      <c r="C14" s="281"/>
      <c r="D14" s="411" t="s">
        <v>639</v>
      </c>
      <c r="E14" s="411" t="s">
        <v>34</v>
      </c>
      <c r="F14" s="403" t="s">
        <v>35</v>
      </c>
      <c r="G14" s="266" t="s">
        <v>208</v>
      </c>
      <c r="H14" s="266" t="s">
        <v>65</v>
      </c>
      <c r="I14" s="268" t="s">
        <v>483</v>
      </c>
      <c r="J14" s="266" t="s">
        <v>603</v>
      </c>
      <c r="K14" s="266" t="s">
        <v>604</v>
      </c>
      <c r="L14" s="266" t="s">
        <v>605</v>
      </c>
      <c r="M14" s="266" t="s">
        <v>606</v>
      </c>
      <c r="N14" s="404" t="s">
        <v>570</v>
      </c>
      <c r="O14" s="405" t="s">
        <v>640</v>
      </c>
      <c r="P14" s="266" t="s">
        <v>641</v>
      </c>
      <c r="Q14" s="266" t="s">
        <v>642</v>
      </c>
      <c r="R14" s="257"/>
      <c r="S14" s="267"/>
      <c r="T14" s="257"/>
      <c r="U14" s="37" t="s">
        <v>610</v>
      </c>
      <c r="V14" s="407" t="s">
        <v>489</v>
      </c>
      <c r="W14" s="413"/>
      <c r="X14" s="413"/>
      <c r="Y14" s="413" t="s">
        <v>643</v>
      </c>
      <c r="Z14" s="409"/>
      <c r="AA14" s="409"/>
      <c r="AB14" s="409"/>
    </row>
    <row r="15" ht="45.0" customHeight="1">
      <c r="A15" s="402">
        <v>10.0</v>
      </c>
      <c r="B15" s="228">
        <f t="shared" si="1"/>
        <v>45444.54819</v>
      </c>
      <c r="C15" s="281"/>
      <c r="D15" s="416" t="s">
        <v>644</v>
      </c>
      <c r="E15" s="416" t="s">
        <v>46</v>
      </c>
      <c r="F15" s="403" t="s">
        <v>125</v>
      </c>
      <c r="G15" s="266" t="s">
        <v>544</v>
      </c>
      <c r="H15" s="266" t="s">
        <v>177</v>
      </c>
      <c r="I15" s="268" t="s">
        <v>645</v>
      </c>
      <c r="J15" s="266" t="s">
        <v>603</v>
      </c>
      <c r="K15" s="266" t="s">
        <v>604</v>
      </c>
      <c r="L15" s="266" t="s">
        <v>624</v>
      </c>
      <c r="M15" s="266" t="s">
        <v>618</v>
      </c>
      <c r="N15" s="404" t="s">
        <v>636</v>
      </c>
      <c r="O15" s="405">
        <v>1.773799E8</v>
      </c>
      <c r="P15" s="268" t="s">
        <v>637</v>
      </c>
      <c r="Q15" s="266"/>
      <c r="R15" s="257"/>
      <c r="S15" s="267"/>
      <c r="T15" s="257"/>
      <c r="U15" s="37" t="s">
        <v>610</v>
      </c>
      <c r="V15" s="407" t="s">
        <v>489</v>
      </c>
      <c r="W15" s="413"/>
      <c r="X15" s="413"/>
      <c r="Y15" s="413" t="s">
        <v>646</v>
      </c>
      <c r="Z15" s="409"/>
      <c r="AA15" s="409"/>
      <c r="AB15" s="409"/>
    </row>
    <row r="16" ht="45.0" customHeight="1">
      <c r="A16" s="402">
        <v>11.0</v>
      </c>
      <c r="B16" s="228">
        <f t="shared" si="1"/>
        <v>45444.66228</v>
      </c>
      <c r="C16" s="281"/>
      <c r="D16" s="416" t="s">
        <v>647</v>
      </c>
      <c r="E16" s="416" t="s">
        <v>58</v>
      </c>
      <c r="F16" s="403" t="s">
        <v>319</v>
      </c>
      <c r="G16" s="267"/>
      <c r="H16" s="267"/>
      <c r="I16" s="268" t="s">
        <v>648</v>
      </c>
      <c r="J16" s="266" t="s">
        <v>603</v>
      </c>
      <c r="K16" s="266" t="s">
        <v>604</v>
      </c>
      <c r="L16" s="266" t="s">
        <v>649</v>
      </c>
      <c r="M16" s="266" t="s">
        <v>618</v>
      </c>
      <c r="N16" s="404" t="s">
        <v>650</v>
      </c>
      <c r="O16" s="405">
        <v>9.938646E7</v>
      </c>
      <c r="P16" s="268" t="s">
        <v>651</v>
      </c>
      <c r="Q16" s="267"/>
      <c r="R16" s="257"/>
      <c r="S16" s="267"/>
      <c r="T16" s="257"/>
      <c r="U16" s="37" t="s">
        <v>610</v>
      </c>
      <c r="V16" s="307"/>
      <c r="W16" s="413"/>
      <c r="X16" s="413"/>
      <c r="Y16" s="413" t="s">
        <v>631</v>
      </c>
      <c r="Z16" s="409"/>
      <c r="AA16" s="409"/>
      <c r="AB16" s="409"/>
    </row>
    <row r="17" ht="45.0" customHeight="1">
      <c r="A17" s="402">
        <v>12.0</v>
      </c>
      <c r="B17" s="228">
        <f t="shared" si="1"/>
        <v>45444.66542</v>
      </c>
      <c r="C17" s="281"/>
      <c r="D17" s="416" t="s">
        <v>652</v>
      </c>
      <c r="E17" s="416" t="s">
        <v>58</v>
      </c>
      <c r="F17" s="403" t="s">
        <v>319</v>
      </c>
      <c r="G17" s="267"/>
      <c r="H17" s="267"/>
      <c r="I17" s="268" t="s">
        <v>653</v>
      </c>
      <c r="J17" s="266" t="s">
        <v>603</v>
      </c>
      <c r="K17" s="266" t="s">
        <v>604</v>
      </c>
      <c r="L17" s="266" t="s">
        <v>649</v>
      </c>
      <c r="M17" s="266" t="s">
        <v>618</v>
      </c>
      <c r="N17" s="404" t="s">
        <v>654</v>
      </c>
      <c r="O17" s="417">
        <v>5.824E7</v>
      </c>
      <c r="P17" s="268" t="s">
        <v>655</v>
      </c>
      <c r="Q17" s="267"/>
      <c r="R17" s="257"/>
      <c r="S17" s="267"/>
      <c r="T17" s="257"/>
      <c r="U17" s="37" t="s">
        <v>610</v>
      </c>
      <c r="V17" s="307"/>
      <c r="W17" s="413"/>
      <c r="X17" s="413"/>
      <c r="Y17" s="413" t="s">
        <v>631</v>
      </c>
      <c r="Z17" s="409"/>
      <c r="AA17" s="409"/>
      <c r="AB17" s="409"/>
    </row>
    <row r="18" ht="45.0" customHeight="1">
      <c r="A18" s="402">
        <v>13.0</v>
      </c>
      <c r="B18" s="228">
        <f t="shared" si="1"/>
        <v>45444.69822</v>
      </c>
      <c r="C18" s="276"/>
      <c r="D18" s="416" t="s">
        <v>656</v>
      </c>
      <c r="E18" s="416" t="s">
        <v>23</v>
      </c>
      <c r="F18" s="403" t="s">
        <v>282</v>
      </c>
      <c r="G18" s="267"/>
      <c r="H18" s="267"/>
      <c r="I18" s="259"/>
      <c r="J18" s="266" t="s">
        <v>603</v>
      </c>
      <c r="K18" s="266" t="s">
        <v>657</v>
      </c>
      <c r="L18" s="266" t="s">
        <v>649</v>
      </c>
      <c r="M18" s="266" t="s">
        <v>606</v>
      </c>
      <c r="N18" s="404" t="s">
        <v>658</v>
      </c>
      <c r="O18" s="405">
        <v>4.2554966E7</v>
      </c>
      <c r="P18" s="268" t="s">
        <v>659</v>
      </c>
      <c r="Q18" s="266"/>
      <c r="R18" s="257"/>
      <c r="S18" s="267"/>
      <c r="T18" s="257"/>
      <c r="U18" s="37" t="s">
        <v>610</v>
      </c>
      <c r="V18" s="307"/>
      <c r="W18" s="418"/>
      <c r="X18" s="418"/>
      <c r="Y18" s="419" t="s">
        <v>660</v>
      </c>
      <c r="Z18" s="420"/>
      <c r="AA18" s="409"/>
      <c r="AB18" s="409"/>
    </row>
    <row r="19" ht="45.0" customHeight="1">
      <c r="A19" s="402">
        <v>14.0</v>
      </c>
      <c r="B19" s="228">
        <f t="shared" si="1"/>
        <v>45445.66362</v>
      </c>
      <c r="C19" s="281"/>
      <c r="D19" s="421" t="s">
        <v>661</v>
      </c>
      <c r="E19" s="416" t="s">
        <v>46</v>
      </c>
      <c r="F19" s="403" t="s">
        <v>299</v>
      </c>
      <c r="G19" s="267"/>
      <c r="H19" s="267"/>
      <c r="I19" s="268" t="s">
        <v>662</v>
      </c>
      <c r="J19" s="266" t="s">
        <v>603</v>
      </c>
      <c r="K19" s="266" t="s">
        <v>604</v>
      </c>
      <c r="L19" s="266" t="s">
        <v>605</v>
      </c>
      <c r="M19" s="266" t="s">
        <v>606</v>
      </c>
      <c r="N19" s="404" t="s">
        <v>663</v>
      </c>
      <c r="O19" s="405">
        <v>7.39934E8</v>
      </c>
      <c r="P19" s="268" t="s">
        <v>664</v>
      </c>
      <c r="Q19" s="267"/>
      <c r="R19" s="257"/>
      <c r="S19" s="422" t="s">
        <v>665</v>
      </c>
      <c r="T19" s="423">
        <v>44092.0</v>
      </c>
      <c r="U19" s="37" t="s">
        <v>610</v>
      </c>
      <c r="V19" s="407" t="s">
        <v>481</v>
      </c>
      <c r="W19" s="413"/>
      <c r="X19" s="413"/>
      <c r="Y19" s="413" t="s">
        <v>666</v>
      </c>
      <c r="Z19" s="409"/>
      <c r="AA19" s="409"/>
      <c r="AB19" s="409"/>
    </row>
    <row r="20" ht="45.0" customHeight="1">
      <c r="A20" s="402">
        <v>15.0</v>
      </c>
      <c r="B20" s="228">
        <f t="shared" si="1"/>
        <v>45445.66362</v>
      </c>
      <c r="C20" s="281"/>
      <c r="D20" s="424" t="s">
        <v>667</v>
      </c>
      <c r="E20" s="416" t="s">
        <v>46</v>
      </c>
      <c r="F20" s="403" t="s">
        <v>299</v>
      </c>
      <c r="G20" s="266" t="s">
        <v>132</v>
      </c>
      <c r="H20" s="267"/>
      <c r="I20" s="268" t="s">
        <v>668</v>
      </c>
      <c r="J20" s="266" t="s">
        <v>603</v>
      </c>
      <c r="K20" s="266" t="s">
        <v>657</v>
      </c>
      <c r="L20" s="266" t="s">
        <v>649</v>
      </c>
      <c r="M20" s="266" t="s">
        <v>606</v>
      </c>
      <c r="N20" s="404" t="s">
        <v>669</v>
      </c>
      <c r="O20" s="405">
        <v>2.98E8</v>
      </c>
      <c r="P20" s="268" t="s">
        <v>670</v>
      </c>
      <c r="Q20" s="267"/>
      <c r="R20" s="257"/>
      <c r="S20" s="266">
        <v>23166.0</v>
      </c>
      <c r="T20" s="234">
        <v>45097.0</v>
      </c>
      <c r="U20" s="37" t="s">
        <v>610</v>
      </c>
      <c r="V20" s="407" t="s">
        <v>481</v>
      </c>
      <c r="W20" s="418"/>
      <c r="X20" s="418"/>
      <c r="Y20" s="419" t="s">
        <v>671</v>
      </c>
      <c r="Z20" s="409"/>
      <c r="AA20" s="409"/>
      <c r="AB20" s="409"/>
    </row>
    <row r="21" ht="45.0" customHeight="1">
      <c r="A21" s="402">
        <v>16.0</v>
      </c>
      <c r="B21" s="228">
        <f t="shared" si="1"/>
        <v>45445.66362</v>
      </c>
      <c r="C21" s="276" t="s">
        <v>156</v>
      </c>
      <c r="D21" s="421" t="s">
        <v>672</v>
      </c>
      <c r="E21" s="416" t="s">
        <v>46</v>
      </c>
      <c r="F21" s="403" t="s">
        <v>299</v>
      </c>
      <c r="G21" s="267"/>
      <c r="H21" s="267"/>
      <c r="I21" s="268" t="s">
        <v>673</v>
      </c>
      <c r="J21" s="266" t="s">
        <v>603</v>
      </c>
      <c r="K21" s="266" t="s">
        <v>604</v>
      </c>
      <c r="L21" s="266" t="s">
        <v>605</v>
      </c>
      <c r="M21" s="266" t="s">
        <v>606</v>
      </c>
      <c r="N21" s="404" t="s">
        <v>674</v>
      </c>
      <c r="O21" s="405">
        <v>9.6E7</v>
      </c>
      <c r="P21" s="268" t="s">
        <v>675</v>
      </c>
      <c r="Q21" s="267"/>
      <c r="R21" s="257"/>
      <c r="S21" s="266" t="s">
        <v>676</v>
      </c>
      <c r="T21" s="234">
        <v>45223.0</v>
      </c>
      <c r="U21" s="37" t="s">
        <v>610</v>
      </c>
      <c r="V21" s="407" t="s">
        <v>481</v>
      </c>
      <c r="W21" s="413"/>
      <c r="X21" s="413"/>
      <c r="Y21" s="413" t="s">
        <v>677</v>
      </c>
      <c r="Z21" s="409"/>
      <c r="AA21" s="409"/>
      <c r="AB21" s="409"/>
    </row>
    <row r="22" ht="45.0" customHeight="1">
      <c r="A22" s="402">
        <v>17.0</v>
      </c>
      <c r="B22" s="228">
        <f t="shared" si="1"/>
        <v>45445.66362</v>
      </c>
      <c r="C22" s="276" t="s">
        <v>156</v>
      </c>
      <c r="D22" s="421" t="s">
        <v>678</v>
      </c>
      <c r="E22" s="416" t="s">
        <v>46</v>
      </c>
      <c r="F22" s="403" t="s">
        <v>299</v>
      </c>
      <c r="G22" s="267"/>
      <c r="H22" s="267"/>
      <c r="I22" s="268" t="s">
        <v>679</v>
      </c>
      <c r="J22" s="266" t="s">
        <v>603</v>
      </c>
      <c r="K22" s="266" t="s">
        <v>604</v>
      </c>
      <c r="L22" s="266" t="s">
        <v>605</v>
      </c>
      <c r="M22" s="266" t="s">
        <v>606</v>
      </c>
      <c r="N22" s="404" t="s">
        <v>663</v>
      </c>
      <c r="O22" s="405">
        <v>7.1E7</v>
      </c>
      <c r="P22" s="268" t="s">
        <v>675</v>
      </c>
      <c r="Q22" s="267"/>
      <c r="R22" s="257"/>
      <c r="S22" s="266" t="s">
        <v>676</v>
      </c>
      <c r="T22" s="234">
        <v>45223.0</v>
      </c>
      <c r="U22" s="37" t="s">
        <v>610</v>
      </c>
      <c r="V22" s="407" t="s">
        <v>481</v>
      </c>
      <c r="W22" s="413"/>
      <c r="X22" s="413"/>
      <c r="Y22" s="413" t="s">
        <v>680</v>
      </c>
      <c r="Z22" s="409"/>
      <c r="AA22" s="409"/>
      <c r="AB22" s="409"/>
    </row>
    <row r="23" ht="45.0" customHeight="1">
      <c r="A23" s="402">
        <v>18.0</v>
      </c>
      <c r="B23" s="228">
        <f t="shared" si="1"/>
        <v>45445.69808</v>
      </c>
      <c r="C23" s="281"/>
      <c r="D23" s="411" t="s">
        <v>681</v>
      </c>
      <c r="E23" s="416" t="s">
        <v>46</v>
      </c>
      <c r="F23" s="403"/>
      <c r="G23" s="267"/>
      <c r="H23" s="267"/>
      <c r="I23" s="259"/>
      <c r="J23" s="266" t="s">
        <v>603</v>
      </c>
      <c r="K23" s="266" t="s">
        <v>604</v>
      </c>
      <c r="L23" s="266" t="s">
        <v>605</v>
      </c>
      <c r="M23" s="266" t="s">
        <v>606</v>
      </c>
      <c r="N23" s="412"/>
      <c r="O23" s="405">
        <v>4.49E8</v>
      </c>
      <c r="P23" s="268" t="s">
        <v>682</v>
      </c>
      <c r="Q23" s="267"/>
      <c r="R23" s="257"/>
      <c r="S23" s="266" t="s">
        <v>683</v>
      </c>
      <c r="T23" s="234">
        <v>45028.0</v>
      </c>
      <c r="U23" s="37" t="s">
        <v>610</v>
      </c>
      <c r="V23" s="407" t="s">
        <v>481</v>
      </c>
      <c r="W23" s="413"/>
      <c r="X23" s="413"/>
      <c r="Y23" s="413" t="s">
        <v>684</v>
      </c>
      <c r="Z23" s="409"/>
      <c r="AA23" s="409"/>
      <c r="AB23" s="409"/>
    </row>
    <row r="24" ht="45.0" customHeight="1">
      <c r="A24" s="402">
        <v>19.0</v>
      </c>
      <c r="B24" s="228">
        <f t="shared" si="1"/>
        <v>45445.70105</v>
      </c>
      <c r="C24" s="281"/>
      <c r="D24" s="416" t="s">
        <v>685</v>
      </c>
      <c r="E24" s="416" t="s">
        <v>46</v>
      </c>
      <c r="F24" s="316"/>
      <c r="G24" s="267"/>
      <c r="H24" s="267"/>
      <c r="I24" s="259"/>
      <c r="J24" s="266" t="s">
        <v>603</v>
      </c>
      <c r="K24" s="266" t="s">
        <v>604</v>
      </c>
      <c r="L24" s="266" t="s">
        <v>605</v>
      </c>
      <c r="M24" s="267"/>
      <c r="N24" s="412"/>
      <c r="O24" s="405">
        <v>1.25E8</v>
      </c>
      <c r="P24" s="268" t="s">
        <v>682</v>
      </c>
      <c r="Q24" s="267"/>
      <c r="R24" s="257"/>
      <c r="S24" s="266" t="s">
        <v>683</v>
      </c>
      <c r="T24" s="234">
        <v>45028.0</v>
      </c>
      <c r="U24" s="37" t="s">
        <v>610</v>
      </c>
      <c r="V24" s="407" t="s">
        <v>481</v>
      </c>
      <c r="W24" s="413"/>
      <c r="X24" s="413"/>
      <c r="Y24" s="413" t="s">
        <v>684</v>
      </c>
      <c r="Z24" s="409"/>
      <c r="AA24" s="409"/>
      <c r="AB24" s="409"/>
    </row>
    <row r="25" ht="45.0" customHeight="1">
      <c r="A25" s="402">
        <v>20.0</v>
      </c>
      <c r="B25" s="228">
        <f t="shared" si="1"/>
        <v>45445.98319</v>
      </c>
      <c r="C25" s="281"/>
      <c r="D25" s="416" t="s">
        <v>686</v>
      </c>
      <c r="E25" s="416" t="s">
        <v>108</v>
      </c>
      <c r="F25" s="316"/>
      <c r="G25" s="267"/>
      <c r="H25" s="267"/>
      <c r="I25" s="268" t="s">
        <v>687</v>
      </c>
      <c r="J25" s="266" t="s">
        <v>603</v>
      </c>
      <c r="K25" s="266" t="s">
        <v>604</v>
      </c>
      <c r="L25" s="266" t="s">
        <v>605</v>
      </c>
      <c r="M25" s="266" t="s">
        <v>618</v>
      </c>
      <c r="N25" s="404" t="s">
        <v>688</v>
      </c>
      <c r="O25" s="405" t="s">
        <v>689</v>
      </c>
      <c r="P25" s="268" t="s">
        <v>690</v>
      </c>
      <c r="Q25" s="267"/>
      <c r="R25" s="257"/>
      <c r="S25" s="266" t="s">
        <v>691</v>
      </c>
      <c r="T25" s="234">
        <v>44860.0</v>
      </c>
      <c r="U25" s="37" t="s">
        <v>610</v>
      </c>
      <c r="V25" s="407" t="s">
        <v>481</v>
      </c>
      <c r="W25" s="413"/>
      <c r="X25" s="413"/>
      <c r="Y25" s="413" t="s">
        <v>684</v>
      </c>
      <c r="Z25" s="409"/>
      <c r="AA25" s="409"/>
      <c r="AB25" s="409"/>
    </row>
    <row r="26" ht="45.0" customHeight="1">
      <c r="A26" s="402">
        <v>21.0</v>
      </c>
      <c r="B26" s="228">
        <f t="shared" si="1"/>
        <v>45495.64268</v>
      </c>
      <c r="C26" s="276" t="s">
        <v>206</v>
      </c>
      <c r="D26" s="268" t="s">
        <v>692</v>
      </c>
      <c r="E26" s="268" t="s">
        <v>58</v>
      </c>
      <c r="F26" s="403" t="s">
        <v>551</v>
      </c>
      <c r="G26" s="266" t="s">
        <v>552</v>
      </c>
      <c r="H26" s="266" t="s">
        <v>553</v>
      </c>
      <c r="I26" s="268" t="s">
        <v>693</v>
      </c>
      <c r="J26" s="266" t="s">
        <v>694</v>
      </c>
      <c r="K26" s="266" t="s">
        <v>604</v>
      </c>
      <c r="L26" s="266" t="s">
        <v>586</v>
      </c>
      <c r="M26" s="266" t="s">
        <v>606</v>
      </c>
      <c r="N26" s="404" t="s">
        <v>695</v>
      </c>
      <c r="O26" s="425"/>
      <c r="P26" s="268" t="s">
        <v>489</v>
      </c>
      <c r="Q26" s="267"/>
      <c r="R26" s="257"/>
      <c r="S26" s="266" t="s">
        <v>696</v>
      </c>
      <c r="T26" s="234">
        <v>45370.0</v>
      </c>
      <c r="U26" s="37" t="s">
        <v>610</v>
      </c>
      <c r="V26" s="307"/>
      <c r="W26" s="413">
        <v>2024.0</v>
      </c>
      <c r="X26" s="426" t="s">
        <v>697</v>
      </c>
      <c r="Y26" s="413" t="s">
        <v>698</v>
      </c>
      <c r="Z26" s="409"/>
      <c r="AA26" s="409"/>
      <c r="AB26" s="409"/>
    </row>
    <row r="27" ht="45.0" customHeight="1">
      <c r="A27" s="402">
        <v>22.0</v>
      </c>
      <c r="B27" s="228">
        <f t="shared" si="1"/>
        <v>45495.64281</v>
      </c>
      <c r="C27" s="276"/>
      <c r="D27" s="268" t="s">
        <v>699</v>
      </c>
      <c r="E27" s="268" t="s">
        <v>58</v>
      </c>
      <c r="F27" s="403" t="s">
        <v>551</v>
      </c>
      <c r="G27" s="266" t="s">
        <v>553</v>
      </c>
      <c r="H27" s="290" t="s">
        <v>700</v>
      </c>
      <c r="I27" s="268" t="s">
        <v>701</v>
      </c>
      <c r="J27" s="266" t="s">
        <v>694</v>
      </c>
      <c r="K27" s="266" t="s">
        <v>604</v>
      </c>
      <c r="L27" s="266" t="s">
        <v>586</v>
      </c>
      <c r="M27" s="266" t="s">
        <v>606</v>
      </c>
      <c r="N27" s="404" t="s">
        <v>702</v>
      </c>
      <c r="O27" s="425"/>
      <c r="P27" s="268" t="s">
        <v>489</v>
      </c>
      <c r="Q27" s="267"/>
      <c r="R27" s="257"/>
      <c r="S27" s="266" t="s">
        <v>703</v>
      </c>
      <c r="T27" s="234">
        <v>45415.0</v>
      </c>
      <c r="U27" s="37" t="s">
        <v>610</v>
      </c>
      <c r="V27" s="307"/>
      <c r="W27" s="413">
        <v>2024.0</v>
      </c>
      <c r="X27" s="426" t="s">
        <v>697</v>
      </c>
      <c r="Y27" s="427" t="s">
        <v>704</v>
      </c>
      <c r="Z27" s="409"/>
      <c r="AA27" s="409"/>
      <c r="AB27" s="409"/>
    </row>
    <row r="28" ht="45.0" customHeight="1">
      <c r="A28" s="402">
        <v>23.0</v>
      </c>
      <c r="B28" s="228">
        <f t="shared" si="1"/>
        <v>45495.64294</v>
      </c>
      <c r="C28" s="276" t="s">
        <v>206</v>
      </c>
      <c r="D28" s="268" t="s">
        <v>705</v>
      </c>
      <c r="E28" s="268" t="s">
        <v>34</v>
      </c>
      <c r="F28" s="403" t="s">
        <v>35</v>
      </c>
      <c r="G28" s="267"/>
      <c r="H28" s="267"/>
      <c r="I28" s="259"/>
      <c r="J28" s="266" t="s">
        <v>694</v>
      </c>
      <c r="K28" s="266" t="s">
        <v>604</v>
      </c>
      <c r="L28" s="267"/>
      <c r="M28" s="267"/>
      <c r="N28" s="404" t="s">
        <v>706</v>
      </c>
      <c r="O28" s="425"/>
      <c r="P28" s="259"/>
      <c r="Q28" s="267"/>
      <c r="R28" s="257"/>
      <c r="S28" s="267"/>
      <c r="T28" s="257"/>
      <c r="U28" s="37" t="s">
        <v>610</v>
      </c>
      <c r="V28" s="407" t="s">
        <v>481</v>
      </c>
      <c r="W28" s="413">
        <v>2024.0</v>
      </c>
      <c r="X28" s="426" t="s">
        <v>707</v>
      </c>
      <c r="Y28" s="413" t="s">
        <v>708</v>
      </c>
      <c r="Z28" s="409"/>
      <c r="AA28" s="409"/>
      <c r="AB28" s="409"/>
    </row>
    <row r="29" ht="45.0" customHeight="1">
      <c r="A29" s="402">
        <v>24.0</v>
      </c>
      <c r="B29" s="228">
        <f t="shared" si="1"/>
        <v>45495.64306</v>
      </c>
      <c r="C29" s="276" t="s">
        <v>206</v>
      </c>
      <c r="D29" s="268" t="s">
        <v>709</v>
      </c>
      <c r="E29" s="268" t="s">
        <v>34</v>
      </c>
      <c r="F29" s="403" t="s">
        <v>37</v>
      </c>
      <c r="G29" s="266" t="s">
        <v>35</v>
      </c>
      <c r="H29" s="266" t="s">
        <v>38</v>
      </c>
      <c r="I29" s="259"/>
      <c r="J29" s="266" t="s">
        <v>694</v>
      </c>
      <c r="K29" s="266" t="s">
        <v>604</v>
      </c>
      <c r="L29" s="267"/>
      <c r="M29" s="267"/>
      <c r="N29" s="404" t="s">
        <v>710</v>
      </c>
      <c r="O29" s="425"/>
      <c r="P29" s="259"/>
      <c r="Q29" s="267"/>
      <c r="R29" s="257"/>
      <c r="S29" s="267"/>
      <c r="T29" s="257"/>
      <c r="U29" s="37" t="s">
        <v>610</v>
      </c>
      <c r="V29" s="407" t="s">
        <v>481</v>
      </c>
      <c r="W29" s="413">
        <v>2024.0</v>
      </c>
      <c r="X29" s="426" t="s">
        <v>711</v>
      </c>
      <c r="Y29" s="413" t="s">
        <v>712</v>
      </c>
      <c r="Z29" s="409"/>
      <c r="AA29" s="409"/>
      <c r="AB29" s="409"/>
    </row>
    <row r="30" ht="45.0" customHeight="1">
      <c r="A30" s="402">
        <v>25.0</v>
      </c>
      <c r="B30" s="228">
        <f t="shared" si="1"/>
        <v>45495.64321</v>
      </c>
      <c r="C30" s="276" t="s">
        <v>206</v>
      </c>
      <c r="D30" s="268" t="s">
        <v>713</v>
      </c>
      <c r="E30" s="268" t="s">
        <v>34</v>
      </c>
      <c r="F30" s="403" t="s">
        <v>35</v>
      </c>
      <c r="G30" s="267"/>
      <c r="H30" s="267"/>
      <c r="I30" s="259"/>
      <c r="J30" s="266" t="s">
        <v>694</v>
      </c>
      <c r="K30" s="266" t="s">
        <v>604</v>
      </c>
      <c r="L30" s="267"/>
      <c r="M30" s="267"/>
      <c r="N30" s="404" t="s">
        <v>714</v>
      </c>
      <c r="O30" s="425"/>
      <c r="P30" s="259"/>
      <c r="Q30" s="267"/>
      <c r="R30" s="257"/>
      <c r="S30" s="267"/>
      <c r="T30" s="257"/>
      <c r="U30" s="37" t="s">
        <v>610</v>
      </c>
      <c r="V30" s="407" t="s">
        <v>481</v>
      </c>
      <c r="W30" s="428">
        <v>2024.0</v>
      </c>
      <c r="X30" s="429" t="s">
        <v>715</v>
      </c>
      <c r="Y30" s="428" t="s">
        <v>708</v>
      </c>
      <c r="Z30" s="409"/>
      <c r="AA30" s="409"/>
      <c r="AB30" s="409"/>
    </row>
    <row r="31" ht="45.0" customHeight="1">
      <c r="A31" s="402">
        <v>26.0</v>
      </c>
      <c r="B31" s="228">
        <f t="shared" si="1"/>
        <v>45495.64332</v>
      </c>
      <c r="C31" s="276" t="s">
        <v>206</v>
      </c>
      <c r="D31" s="268" t="s">
        <v>716</v>
      </c>
      <c r="E31" s="268" t="s">
        <v>34</v>
      </c>
      <c r="F31" s="403" t="s">
        <v>35</v>
      </c>
      <c r="G31" s="267"/>
      <c r="H31" s="267"/>
      <c r="I31" s="259"/>
      <c r="J31" s="266" t="s">
        <v>635</v>
      </c>
      <c r="K31" s="266" t="s">
        <v>604</v>
      </c>
      <c r="L31" s="267"/>
      <c r="M31" s="267"/>
      <c r="N31" s="412"/>
      <c r="O31" s="430">
        <v>3.69E7</v>
      </c>
      <c r="P31" s="268" t="s">
        <v>717</v>
      </c>
      <c r="Q31" s="267"/>
      <c r="R31" s="257"/>
      <c r="S31" s="267"/>
      <c r="T31" s="257"/>
      <c r="U31" s="37" t="s">
        <v>610</v>
      </c>
      <c r="V31" s="407" t="s">
        <v>481</v>
      </c>
      <c r="W31" s="428">
        <v>2024.0</v>
      </c>
      <c r="X31" s="429" t="s">
        <v>718</v>
      </c>
      <c r="Y31" s="428" t="s">
        <v>719</v>
      </c>
      <c r="Z31" s="409"/>
      <c r="AA31" s="409"/>
      <c r="AB31" s="409"/>
    </row>
    <row r="32" ht="45.0" customHeight="1">
      <c r="A32" s="431">
        <v>27.0</v>
      </c>
      <c r="B32" s="351">
        <f t="shared" si="1"/>
        <v>45495.64366</v>
      </c>
      <c r="C32" s="361"/>
      <c r="D32" s="268" t="s">
        <v>720</v>
      </c>
      <c r="E32" s="268" t="s">
        <v>108</v>
      </c>
      <c r="F32" s="403" t="s">
        <v>420</v>
      </c>
      <c r="G32" s="266" t="s">
        <v>208</v>
      </c>
      <c r="H32" s="266" t="s">
        <v>282</v>
      </c>
      <c r="I32" s="278" t="s">
        <v>721</v>
      </c>
      <c r="J32" s="266" t="s">
        <v>694</v>
      </c>
      <c r="K32" s="266" t="s">
        <v>604</v>
      </c>
      <c r="L32" s="266" t="s">
        <v>624</v>
      </c>
      <c r="M32" s="266" t="s">
        <v>618</v>
      </c>
      <c r="N32" s="412"/>
      <c r="O32" s="425"/>
      <c r="P32" s="432" t="s">
        <v>722</v>
      </c>
      <c r="Q32" s="267"/>
      <c r="R32" s="257"/>
      <c r="S32" s="267"/>
      <c r="T32" s="257"/>
      <c r="U32" s="433" t="s">
        <v>610</v>
      </c>
      <c r="V32" s="407" t="s">
        <v>481</v>
      </c>
      <c r="W32" s="434"/>
      <c r="X32" s="434"/>
      <c r="Y32" s="435" t="s">
        <v>723</v>
      </c>
    </row>
    <row r="33" ht="45.0" customHeight="1">
      <c r="A33" s="431">
        <v>28.0</v>
      </c>
      <c r="B33" s="351">
        <f t="shared" si="1"/>
        <v>45495.6438</v>
      </c>
      <c r="C33" s="361"/>
      <c r="D33" s="268" t="s">
        <v>724</v>
      </c>
      <c r="E33" s="268" t="s">
        <v>108</v>
      </c>
      <c r="F33" s="403" t="s">
        <v>418</v>
      </c>
      <c r="G33" s="267"/>
      <c r="H33" s="267"/>
      <c r="I33" s="259"/>
      <c r="J33" s="266" t="s">
        <v>694</v>
      </c>
      <c r="K33" s="266" t="s">
        <v>604</v>
      </c>
      <c r="L33" s="267"/>
      <c r="M33" s="266" t="s">
        <v>618</v>
      </c>
      <c r="N33" s="412"/>
      <c r="O33" s="425"/>
      <c r="P33" s="259"/>
      <c r="Q33" s="267"/>
      <c r="R33" s="257"/>
      <c r="S33" s="267"/>
      <c r="T33" s="257"/>
      <c r="U33" s="433" t="s">
        <v>610</v>
      </c>
      <c r="V33" s="307"/>
      <c r="W33" s="436"/>
      <c r="X33" s="436"/>
      <c r="Y33" s="437"/>
    </row>
    <row r="34" ht="45.0" customHeight="1">
      <c r="A34" s="431">
        <v>29.0</v>
      </c>
      <c r="B34" s="351">
        <f t="shared" si="1"/>
        <v>45495.64393</v>
      </c>
      <c r="C34" s="361"/>
      <c r="D34" s="268" t="s">
        <v>725</v>
      </c>
      <c r="E34" s="268" t="s">
        <v>58</v>
      </c>
      <c r="F34" s="403" t="s">
        <v>551</v>
      </c>
      <c r="G34" s="267"/>
      <c r="H34" s="267"/>
      <c r="I34" s="259"/>
      <c r="J34" s="266" t="s">
        <v>635</v>
      </c>
      <c r="K34" s="266" t="s">
        <v>604</v>
      </c>
      <c r="L34" s="267"/>
      <c r="M34" s="267"/>
      <c r="N34" s="412"/>
      <c r="O34" s="425"/>
      <c r="P34" s="259"/>
      <c r="Q34" s="267"/>
      <c r="R34" s="257"/>
      <c r="S34" s="267"/>
      <c r="T34" s="257"/>
      <c r="U34" s="433" t="s">
        <v>610</v>
      </c>
      <c r="V34" s="307"/>
      <c r="W34" s="436"/>
      <c r="X34" s="436"/>
      <c r="Y34" s="437"/>
    </row>
    <row r="35" ht="45.0" customHeight="1">
      <c r="A35" s="431">
        <v>30.0</v>
      </c>
      <c r="B35" s="351">
        <f t="shared" si="1"/>
        <v>45495.64411</v>
      </c>
      <c r="C35" s="361"/>
      <c r="D35" s="268" t="s">
        <v>726</v>
      </c>
      <c r="E35" s="268" t="s">
        <v>58</v>
      </c>
      <c r="F35" s="403" t="s">
        <v>208</v>
      </c>
      <c r="G35" s="267"/>
      <c r="H35" s="267"/>
      <c r="I35" s="259"/>
      <c r="J35" s="266" t="s">
        <v>635</v>
      </c>
      <c r="K35" s="266" t="s">
        <v>604</v>
      </c>
      <c r="L35" s="267"/>
      <c r="M35" s="267"/>
      <c r="N35" s="412"/>
      <c r="O35" s="425"/>
      <c r="P35" s="259"/>
      <c r="Q35" s="267"/>
      <c r="R35" s="257"/>
      <c r="S35" s="267"/>
      <c r="T35" s="257"/>
      <c r="U35" s="433" t="s">
        <v>610</v>
      </c>
      <c r="V35" s="307"/>
      <c r="W35" s="436"/>
      <c r="X35" s="436"/>
      <c r="Y35" s="437"/>
    </row>
    <row r="36" ht="45.0" customHeight="1">
      <c r="A36" s="431">
        <v>31.0</v>
      </c>
      <c r="B36" s="351">
        <f t="shared" si="1"/>
        <v>45495.68947</v>
      </c>
      <c r="C36" s="361"/>
      <c r="D36" s="268" t="s">
        <v>727</v>
      </c>
      <c r="E36" s="268" t="s">
        <v>108</v>
      </c>
      <c r="F36" s="403" t="s">
        <v>393</v>
      </c>
      <c r="G36" s="267"/>
      <c r="H36" s="267"/>
      <c r="I36" s="259"/>
      <c r="J36" s="266" t="s">
        <v>694</v>
      </c>
      <c r="K36" s="266" t="s">
        <v>604</v>
      </c>
      <c r="L36" s="267"/>
      <c r="M36" s="266" t="s">
        <v>618</v>
      </c>
      <c r="N36" s="412"/>
      <c r="O36" s="405">
        <v>2.0E8</v>
      </c>
      <c r="P36" s="259"/>
      <c r="Q36" s="267"/>
      <c r="R36" s="257"/>
      <c r="S36" s="267"/>
      <c r="T36" s="257"/>
      <c r="U36" s="433" t="s">
        <v>610</v>
      </c>
      <c r="V36" s="407" t="s">
        <v>481</v>
      </c>
      <c r="W36" s="436"/>
      <c r="X36" s="436"/>
      <c r="Y36" s="437"/>
    </row>
    <row r="37" ht="45.0" customHeight="1">
      <c r="A37" s="431">
        <v>32.0</v>
      </c>
      <c r="B37" s="351">
        <f t="shared" si="1"/>
        <v>45496.78664</v>
      </c>
      <c r="C37" s="361"/>
      <c r="D37" s="268" t="s">
        <v>728</v>
      </c>
      <c r="E37" s="266" t="s">
        <v>108</v>
      </c>
      <c r="F37" s="403" t="s">
        <v>119</v>
      </c>
      <c r="G37" s="267"/>
      <c r="H37" s="267"/>
      <c r="I37" s="259"/>
      <c r="J37" s="266" t="s">
        <v>694</v>
      </c>
      <c r="K37" s="266" t="s">
        <v>604</v>
      </c>
      <c r="L37" s="267"/>
      <c r="M37" s="266" t="s">
        <v>606</v>
      </c>
      <c r="N37" s="412"/>
      <c r="O37" s="425"/>
      <c r="P37" s="259"/>
      <c r="Q37" s="267"/>
      <c r="R37" s="257"/>
      <c r="S37" s="267"/>
      <c r="T37" s="257"/>
      <c r="U37" s="433" t="s">
        <v>610</v>
      </c>
      <c r="V37" s="307"/>
      <c r="W37" s="436"/>
      <c r="X37" s="436"/>
      <c r="Y37" s="437"/>
    </row>
    <row r="38" ht="45.0" customHeight="1">
      <c r="A38" s="431">
        <v>33.0</v>
      </c>
      <c r="B38" s="351">
        <f t="shared" si="1"/>
        <v>45496.78972</v>
      </c>
      <c r="C38" s="361"/>
      <c r="D38" s="268" t="s">
        <v>729</v>
      </c>
      <c r="E38" s="266" t="s">
        <v>108</v>
      </c>
      <c r="F38" s="403" t="s">
        <v>418</v>
      </c>
      <c r="G38" s="267"/>
      <c r="H38" s="267"/>
      <c r="I38" s="259"/>
      <c r="J38" s="266" t="s">
        <v>694</v>
      </c>
      <c r="K38" s="266" t="s">
        <v>604</v>
      </c>
      <c r="L38" s="267"/>
      <c r="M38" s="266" t="s">
        <v>618</v>
      </c>
      <c r="N38" s="412"/>
      <c r="O38" s="425"/>
      <c r="P38" s="259"/>
      <c r="Q38" s="267"/>
      <c r="R38" s="257"/>
      <c r="S38" s="267"/>
      <c r="T38" s="257"/>
      <c r="U38" s="433" t="s">
        <v>610</v>
      </c>
      <c r="V38" s="307"/>
      <c r="W38" s="436"/>
      <c r="X38" s="436"/>
      <c r="Y38" s="437"/>
    </row>
    <row r="39" ht="45.0" customHeight="1">
      <c r="A39" s="431">
        <v>34.0</v>
      </c>
      <c r="B39" s="351">
        <f t="shared" si="1"/>
        <v>45497.01402</v>
      </c>
      <c r="C39" s="361"/>
      <c r="D39" s="268" t="s">
        <v>730</v>
      </c>
      <c r="E39" s="266" t="s">
        <v>108</v>
      </c>
      <c r="F39" s="403" t="s">
        <v>420</v>
      </c>
      <c r="G39" s="267"/>
      <c r="H39" s="267"/>
      <c r="I39" s="268" t="s">
        <v>731</v>
      </c>
      <c r="J39" s="266" t="s">
        <v>603</v>
      </c>
      <c r="K39" s="266" t="s">
        <v>604</v>
      </c>
      <c r="L39" s="267"/>
      <c r="M39" s="266" t="s">
        <v>618</v>
      </c>
      <c r="N39" s="412"/>
      <c r="O39" s="405">
        <v>8.05E7</v>
      </c>
      <c r="P39" s="268" t="s">
        <v>732</v>
      </c>
      <c r="Q39" s="267"/>
      <c r="R39" s="257"/>
      <c r="S39" s="266" t="s">
        <v>733</v>
      </c>
      <c r="T39" s="234">
        <v>45327.0</v>
      </c>
      <c r="U39" s="433" t="s">
        <v>610</v>
      </c>
      <c r="V39" s="407" t="s">
        <v>481</v>
      </c>
      <c r="W39" s="434"/>
      <c r="X39" s="434"/>
      <c r="Y39" s="435" t="s">
        <v>734</v>
      </c>
    </row>
    <row r="40" ht="45.0" customHeight="1">
      <c r="A40" s="431">
        <v>35.0</v>
      </c>
      <c r="B40" s="351">
        <f t="shared" si="1"/>
        <v>45497.36814</v>
      </c>
      <c r="C40" s="361"/>
      <c r="D40" s="268" t="s">
        <v>735</v>
      </c>
      <c r="E40" s="266" t="s">
        <v>34</v>
      </c>
      <c r="F40" s="403" t="s">
        <v>37</v>
      </c>
      <c r="G40" s="266" t="s">
        <v>208</v>
      </c>
      <c r="H40" s="266" t="s">
        <v>35</v>
      </c>
      <c r="I40" s="259"/>
      <c r="J40" s="266" t="s">
        <v>694</v>
      </c>
      <c r="K40" s="266" t="s">
        <v>604</v>
      </c>
      <c r="L40" s="267"/>
      <c r="M40" s="267"/>
      <c r="N40" s="412"/>
      <c r="O40" s="425"/>
      <c r="P40" s="268" t="s">
        <v>736</v>
      </c>
      <c r="Q40" s="266" t="s">
        <v>737</v>
      </c>
      <c r="R40" s="234">
        <v>45456.0</v>
      </c>
      <c r="S40" s="267"/>
      <c r="T40" s="257"/>
      <c r="U40" s="433" t="s">
        <v>610</v>
      </c>
      <c r="V40" s="407" t="s">
        <v>481</v>
      </c>
      <c r="W40" s="436"/>
      <c r="X40" s="436"/>
      <c r="Y40" s="437"/>
    </row>
    <row r="41" ht="45.0" customHeight="1">
      <c r="A41" s="431">
        <v>36.0</v>
      </c>
      <c r="B41" s="351" t="str">
        <f t="shared" si="1"/>
        <v/>
      </c>
      <c r="C41" s="361"/>
      <c r="D41" s="259"/>
      <c r="E41" s="267"/>
      <c r="F41" s="316"/>
      <c r="G41" s="267"/>
      <c r="H41" s="267"/>
      <c r="I41" s="259"/>
      <c r="J41" s="267"/>
      <c r="K41" s="267"/>
      <c r="L41" s="267"/>
      <c r="M41" s="267"/>
      <c r="N41" s="412"/>
      <c r="O41" s="425"/>
      <c r="P41" s="259"/>
      <c r="Q41" s="267"/>
      <c r="R41" s="257"/>
      <c r="S41" s="267"/>
      <c r="T41" s="257"/>
      <c r="U41" s="433" t="s">
        <v>610</v>
      </c>
      <c r="V41" s="307"/>
      <c r="W41" s="436"/>
      <c r="X41" s="436"/>
      <c r="Y41" s="437"/>
    </row>
    <row r="42" ht="45.0" customHeight="1">
      <c r="A42" s="431">
        <v>37.0</v>
      </c>
      <c r="B42" s="351" t="str">
        <f t="shared" si="1"/>
        <v/>
      </c>
      <c r="C42" s="361"/>
      <c r="D42" s="259"/>
      <c r="E42" s="267"/>
      <c r="F42" s="316"/>
      <c r="G42" s="267"/>
      <c r="H42" s="267"/>
      <c r="I42" s="259"/>
      <c r="J42" s="267"/>
      <c r="K42" s="267"/>
      <c r="L42" s="267"/>
      <c r="M42" s="267"/>
      <c r="N42" s="412"/>
      <c r="O42" s="425"/>
      <c r="P42" s="259"/>
      <c r="Q42" s="267"/>
      <c r="R42" s="257"/>
      <c r="S42" s="267"/>
      <c r="T42" s="257"/>
      <c r="U42" s="433" t="s">
        <v>610</v>
      </c>
      <c r="V42" s="307"/>
      <c r="W42" s="436"/>
      <c r="X42" s="436"/>
      <c r="Y42" s="437"/>
    </row>
    <row r="43" ht="45.0" customHeight="1">
      <c r="A43" s="431">
        <v>38.0</v>
      </c>
      <c r="B43" s="351" t="str">
        <f t="shared" si="1"/>
        <v/>
      </c>
      <c r="C43" s="361"/>
      <c r="D43" s="259"/>
      <c r="E43" s="267"/>
      <c r="F43" s="316"/>
      <c r="G43" s="267"/>
      <c r="H43" s="267"/>
      <c r="I43" s="259"/>
      <c r="J43" s="267"/>
      <c r="K43" s="267"/>
      <c r="L43" s="267"/>
      <c r="M43" s="267"/>
      <c r="N43" s="412"/>
      <c r="O43" s="425"/>
      <c r="P43" s="259"/>
      <c r="Q43" s="267"/>
      <c r="R43" s="257"/>
      <c r="S43" s="267"/>
      <c r="T43" s="257"/>
      <c r="U43" s="433" t="s">
        <v>610</v>
      </c>
      <c r="V43" s="307"/>
      <c r="W43" s="436"/>
      <c r="X43" s="436"/>
      <c r="Y43" s="437"/>
    </row>
    <row r="44" ht="45.0" customHeight="1">
      <c r="A44" s="431">
        <v>39.0</v>
      </c>
      <c r="B44" s="351" t="str">
        <f t="shared" si="1"/>
        <v/>
      </c>
      <c r="C44" s="361"/>
      <c r="D44" s="259"/>
      <c r="E44" s="267"/>
      <c r="F44" s="267"/>
      <c r="G44" s="267"/>
      <c r="H44" s="267"/>
      <c r="I44" s="259"/>
      <c r="J44" s="267"/>
      <c r="K44" s="267"/>
      <c r="L44" s="267"/>
      <c r="M44" s="267"/>
      <c r="N44" s="412"/>
      <c r="O44" s="425"/>
      <c r="P44" s="259"/>
      <c r="Q44" s="267"/>
      <c r="R44" s="257"/>
      <c r="S44" s="267"/>
      <c r="T44" s="257"/>
      <c r="U44" s="433" t="s">
        <v>610</v>
      </c>
      <c r="V44" s="307"/>
      <c r="W44" s="436"/>
      <c r="X44" s="436"/>
      <c r="Y44" s="437"/>
    </row>
    <row r="45" ht="45.0" customHeight="1">
      <c r="A45" s="431">
        <v>40.0</v>
      </c>
      <c r="B45" s="351" t="str">
        <f t="shared" si="1"/>
        <v/>
      </c>
      <c r="C45" s="361"/>
      <c r="D45" s="259"/>
      <c r="E45" s="267"/>
      <c r="F45" s="267"/>
      <c r="G45" s="267"/>
      <c r="H45" s="267"/>
      <c r="I45" s="259"/>
      <c r="J45" s="267"/>
      <c r="K45" s="267"/>
      <c r="L45" s="267"/>
      <c r="M45" s="267"/>
      <c r="N45" s="412"/>
      <c r="O45" s="425"/>
      <c r="P45" s="259"/>
      <c r="Q45" s="267"/>
      <c r="R45" s="257"/>
      <c r="S45" s="267"/>
      <c r="T45" s="257"/>
      <c r="U45" s="433" t="s">
        <v>610</v>
      </c>
      <c r="V45" s="307"/>
      <c r="W45" s="436"/>
      <c r="X45" s="436"/>
      <c r="Y45" s="437"/>
    </row>
    <row r="46" ht="45.0" customHeight="1">
      <c r="A46" s="431">
        <v>41.0</v>
      </c>
      <c r="B46" s="351" t="str">
        <f t="shared" si="1"/>
        <v/>
      </c>
      <c r="C46" s="361"/>
      <c r="D46" s="259"/>
      <c r="E46" s="267"/>
      <c r="F46" s="267"/>
      <c r="G46" s="267"/>
      <c r="H46" s="267"/>
      <c r="I46" s="259"/>
      <c r="J46" s="267"/>
      <c r="K46" s="267"/>
      <c r="L46" s="267"/>
      <c r="M46" s="267"/>
      <c r="N46" s="412"/>
      <c r="O46" s="425"/>
      <c r="P46" s="259"/>
      <c r="Q46" s="267"/>
      <c r="R46" s="257"/>
      <c r="S46" s="267"/>
      <c r="T46" s="257"/>
      <c r="U46" s="433" t="s">
        <v>610</v>
      </c>
      <c r="V46" s="307"/>
      <c r="W46" s="436"/>
      <c r="X46" s="436"/>
      <c r="Y46" s="437"/>
    </row>
    <row r="47" ht="45.0" customHeight="1">
      <c r="A47" s="431">
        <v>42.0</v>
      </c>
      <c r="B47" s="351" t="str">
        <f t="shared" si="1"/>
        <v/>
      </c>
      <c r="C47" s="361"/>
      <c r="D47" s="259"/>
      <c r="E47" s="267"/>
      <c r="F47" s="267"/>
      <c r="G47" s="267"/>
      <c r="H47" s="267"/>
      <c r="I47" s="259"/>
      <c r="J47" s="267"/>
      <c r="K47" s="267"/>
      <c r="L47" s="267"/>
      <c r="M47" s="267"/>
      <c r="N47" s="412"/>
      <c r="O47" s="425"/>
      <c r="P47" s="259"/>
      <c r="Q47" s="267"/>
      <c r="R47" s="257"/>
      <c r="S47" s="267"/>
      <c r="T47" s="257"/>
      <c r="U47" s="433" t="s">
        <v>610</v>
      </c>
      <c r="V47" s="307"/>
      <c r="W47" s="436"/>
      <c r="X47" s="436"/>
      <c r="Y47" s="437"/>
    </row>
    <row r="48" ht="45.0" customHeight="1">
      <c r="A48" s="431">
        <v>43.0</v>
      </c>
      <c r="B48" s="351" t="str">
        <f t="shared" si="1"/>
        <v/>
      </c>
      <c r="C48" s="361"/>
      <c r="D48" s="259"/>
      <c r="E48" s="267"/>
      <c r="F48" s="267"/>
      <c r="G48" s="267"/>
      <c r="H48" s="267"/>
      <c r="I48" s="259"/>
      <c r="J48" s="267"/>
      <c r="K48" s="267"/>
      <c r="L48" s="267"/>
      <c r="M48" s="267"/>
      <c r="N48" s="412"/>
      <c r="O48" s="425"/>
      <c r="P48" s="259"/>
      <c r="Q48" s="267"/>
      <c r="R48" s="257"/>
      <c r="S48" s="267"/>
      <c r="T48" s="257"/>
      <c r="U48" s="433" t="s">
        <v>610</v>
      </c>
      <c r="V48" s="307"/>
      <c r="W48" s="436"/>
      <c r="X48" s="436"/>
      <c r="Y48" s="437"/>
    </row>
    <row r="49" ht="45.0" customHeight="1">
      <c r="A49" s="431">
        <v>44.0</v>
      </c>
      <c r="B49" s="351" t="str">
        <f t="shared" si="1"/>
        <v/>
      </c>
      <c r="C49" s="361"/>
      <c r="D49" s="259"/>
      <c r="E49" s="267"/>
      <c r="F49" s="267"/>
      <c r="G49" s="267"/>
      <c r="H49" s="267"/>
      <c r="I49" s="259"/>
      <c r="J49" s="267"/>
      <c r="K49" s="267"/>
      <c r="L49" s="267"/>
      <c r="M49" s="267"/>
      <c r="N49" s="412"/>
      <c r="O49" s="425"/>
      <c r="P49" s="259"/>
      <c r="Q49" s="267"/>
      <c r="R49" s="257"/>
      <c r="S49" s="267"/>
      <c r="T49" s="257"/>
      <c r="U49" s="433" t="s">
        <v>610</v>
      </c>
      <c r="V49" s="307"/>
      <c r="W49" s="436"/>
      <c r="X49" s="436"/>
      <c r="Y49" s="437"/>
    </row>
    <row r="50" ht="45.0" customHeight="1">
      <c r="A50" s="431">
        <v>45.0</v>
      </c>
      <c r="B50" s="351" t="str">
        <f t="shared" si="1"/>
        <v/>
      </c>
      <c r="C50" s="361"/>
      <c r="D50" s="259"/>
      <c r="E50" s="267"/>
      <c r="F50" s="267"/>
      <c r="G50" s="267"/>
      <c r="H50" s="267"/>
      <c r="I50" s="259"/>
      <c r="J50" s="267"/>
      <c r="K50" s="267"/>
      <c r="L50" s="267"/>
      <c r="M50" s="267"/>
      <c r="N50" s="412"/>
      <c r="O50" s="425"/>
      <c r="P50" s="259"/>
      <c r="Q50" s="267"/>
      <c r="R50" s="257"/>
      <c r="S50" s="267"/>
      <c r="T50" s="257"/>
      <c r="U50" s="433" t="s">
        <v>610</v>
      </c>
      <c r="V50" s="307"/>
      <c r="W50" s="436"/>
      <c r="X50" s="436"/>
      <c r="Y50" s="437"/>
    </row>
    <row r="51" ht="45.0" customHeight="1">
      <c r="A51" s="431">
        <v>46.0</v>
      </c>
      <c r="B51" s="351" t="str">
        <f t="shared" si="1"/>
        <v/>
      </c>
      <c r="C51" s="361"/>
      <c r="D51" s="259"/>
      <c r="E51" s="267"/>
      <c r="F51" s="267"/>
      <c r="G51" s="267"/>
      <c r="H51" s="267"/>
      <c r="I51" s="259"/>
      <c r="J51" s="267"/>
      <c r="K51" s="267"/>
      <c r="L51" s="267"/>
      <c r="M51" s="267"/>
      <c r="N51" s="412"/>
      <c r="O51" s="425"/>
      <c r="P51" s="259"/>
      <c r="Q51" s="267"/>
      <c r="R51" s="257"/>
      <c r="S51" s="267"/>
      <c r="T51" s="257"/>
      <c r="U51" s="433" t="s">
        <v>610</v>
      </c>
      <c r="V51" s="307"/>
      <c r="W51" s="436"/>
      <c r="X51" s="436"/>
      <c r="Y51" s="437"/>
    </row>
    <row r="52" ht="45.0" customHeight="1">
      <c r="A52" s="431">
        <v>47.0</v>
      </c>
      <c r="B52" s="351" t="str">
        <f t="shared" si="1"/>
        <v/>
      </c>
      <c r="C52" s="361"/>
      <c r="D52" s="259"/>
      <c r="E52" s="267"/>
      <c r="F52" s="267"/>
      <c r="G52" s="267"/>
      <c r="H52" s="267"/>
      <c r="I52" s="259"/>
      <c r="J52" s="267"/>
      <c r="K52" s="267"/>
      <c r="L52" s="267"/>
      <c r="M52" s="267"/>
      <c r="N52" s="412"/>
      <c r="O52" s="425"/>
      <c r="P52" s="259"/>
      <c r="Q52" s="267"/>
      <c r="R52" s="257"/>
      <c r="S52" s="267"/>
      <c r="T52" s="257"/>
      <c r="U52" s="433" t="s">
        <v>610</v>
      </c>
      <c r="V52" s="307"/>
      <c r="W52" s="436"/>
      <c r="X52" s="436"/>
      <c r="Y52" s="437"/>
    </row>
    <row r="53" ht="45.0" customHeight="1">
      <c r="A53" s="431">
        <v>48.0</v>
      </c>
      <c r="B53" s="351" t="str">
        <f t="shared" si="1"/>
        <v/>
      </c>
      <c r="C53" s="361"/>
      <c r="D53" s="259"/>
      <c r="E53" s="267"/>
      <c r="F53" s="267"/>
      <c r="G53" s="267"/>
      <c r="H53" s="267"/>
      <c r="I53" s="259"/>
      <c r="J53" s="267"/>
      <c r="K53" s="267"/>
      <c r="L53" s="267"/>
      <c r="M53" s="267"/>
      <c r="N53" s="412"/>
      <c r="O53" s="425"/>
      <c r="P53" s="259"/>
      <c r="Q53" s="267"/>
      <c r="R53" s="257"/>
      <c r="S53" s="267"/>
      <c r="T53" s="257"/>
      <c r="U53" s="433" t="s">
        <v>610</v>
      </c>
      <c r="V53" s="307"/>
      <c r="W53" s="436"/>
      <c r="X53" s="436"/>
      <c r="Y53" s="437"/>
    </row>
    <row r="54" ht="45.0" customHeight="1">
      <c r="A54" s="431">
        <v>49.0</v>
      </c>
      <c r="B54" s="351" t="str">
        <f t="shared" si="1"/>
        <v/>
      </c>
      <c r="C54" s="361"/>
      <c r="D54" s="259"/>
      <c r="E54" s="267"/>
      <c r="F54" s="267"/>
      <c r="G54" s="267"/>
      <c r="H54" s="267"/>
      <c r="I54" s="259"/>
      <c r="J54" s="267"/>
      <c r="K54" s="267"/>
      <c r="L54" s="267"/>
      <c r="M54" s="267"/>
      <c r="N54" s="412"/>
      <c r="O54" s="425"/>
      <c r="P54" s="259"/>
      <c r="Q54" s="267"/>
      <c r="R54" s="257"/>
      <c r="S54" s="267"/>
      <c r="T54" s="257"/>
      <c r="U54" s="433" t="s">
        <v>610</v>
      </c>
      <c r="V54" s="307"/>
      <c r="W54" s="436"/>
      <c r="X54" s="436"/>
      <c r="Y54" s="437"/>
    </row>
    <row r="55" ht="45.0" customHeight="1">
      <c r="A55" s="431">
        <v>50.0</v>
      </c>
      <c r="B55" s="351" t="str">
        <f t="shared" si="1"/>
        <v/>
      </c>
      <c r="C55" s="361"/>
      <c r="D55" s="259"/>
      <c r="E55" s="267"/>
      <c r="F55" s="267"/>
      <c r="G55" s="267"/>
      <c r="H55" s="267"/>
      <c r="I55" s="259"/>
      <c r="J55" s="267"/>
      <c r="K55" s="267"/>
      <c r="L55" s="267"/>
      <c r="M55" s="267"/>
      <c r="N55" s="412"/>
      <c r="O55" s="425"/>
      <c r="P55" s="259"/>
      <c r="Q55" s="267"/>
      <c r="R55" s="257"/>
      <c r="S55" s="267"/>
      <c r="T55" s="257"/>
      <c r="U55" s="433" t="s">
        <v>610</v>
      </c>
      <c r="V55" s="307"/>
      <c r="W55" s="436"/>
      <c r="X55" s="436"/>
      <c r="Y55" s="437"/>
    </row>
    <row r="56" ht="45.0" customHeight="1">
      <c r="A56" s="431">
        <v>51.0</v>
      </c>
      <c r="B56" s="351" t="str">
        <f t="shared" si="1"/>
        <v/>
      </c>
      <c r="C56" s="361"/>
      <c r="D56" s="259"/>
      <c r="E56" s="267"/>
      <c r="F56" s="267"/>
      <c r="G56" s="267"/>
      <c r="H56" s="267"/>
      <c r="I56" s="259"/>
      <c r="J56" s="267"/>
      <c r="K56" s="267"/>
      <c r="L56" s="267"/>
      <c r="M56" s="267"/>
      <c r="N56" s="412"/>
      <c r="O56" s="425"/>
      <c r="P56" s="259"/>
      <c r="Q56" s="267"/>
      <c r="R56" s="257"/>
      <c r="S56" s="267"/>
      <c r="T56" s="257"/>
      <c r="U56" s="433" t="s">
        <v>610</v>
      </c>
      <c r="V56" s="307"/>
      <c r="W56" s="436"/>
      <c r="X56" s="436"/>
      <c r="Y56" s="437"/>
    </row>
    <row r="57" ht="45.0" customHeight="1">
      <c r="A57" s="431">
        <v>52.0</v>
      </c>
      <c r="B57" s="351" t="str">
        <f t="shared" si="1"/>
        <v/>
      </c>
      <c r="C57" s="361"/>
      <c r="D57" s="259"/>
      <c r="E57" s="267"/>
      <c r="F57" s="267"/>
      <c r="G57" s="267"/>
      <c r="H57" s="267"/>
      <c r="I57" s="259"/>
      <c r="J57" s="267"/>
      <c r="K57" s="267"/>
      <c r="L57" s="267"/>
      <c r="M57" s="267"/>
      <c r="N57" s="412"/>
      <c r="O57" s="425"/>
      <c r="P57" s="259"/>
      <c r="Q57" s="267"/>
      <c r="R57" s="257"/>
      <c r="S57" s="267"/>
      <c r="T57" s="257"/>
      <c r="U57" s="433" t="s">
        <v>610</v>
      </c>
      <c r="V57" s="307"/>
      <c r="W57" s="436"/>
      <c r="X57" s="436"/>
      <c r="Y57" s="437"/>
    </row>
    <row r="58" ht="45.0" customHeight="1">
      <c r="A58" s="431">
        <v>53.0</v>
      </c>
      <c r="B58" s="351" t="str">
        <f t="shared" si="1"/>
        <v/>
      </c>
      <c r="C58" s="361"/>
      <c r="D58" s="259"/>
      <c r="E58" s="267"/>
      <c r="F58" s="267"/>
      <c r="G58" s="267"/>
      <c r="H58" s="267"/>
      <c r="I58" s="259"/>
      <c r="J58" s="267"/>
      <c r="K58" s="267"/>
      <c r="L58" s="267"/>
      <c r="M58" s="267"/>
      <c r="N58" s="412"/>
      <c r="O58" s="425"/>
      <c r="P58" s="259"/>
      <c r="Q58" s="267"/>
      <c r="R58" s="257"/>
      <c r="S58" s="267"/>
      <c r="T58" s="257"/>
      <c r="U58" s="433" t="s">
        <v>610</v>
      </c>
      <c r="V58" s="307"/>
      <c r="W58" s="436"/>
      <c r="X58" s="436"/>
      <c r="Y58" s="437"/>
    </row>
    <row r="59" ht="45.0" customHeight="1">
      <c r="A59" s="431">
        <v>54.0</v>
      </c>
      <c r="B59" s="351" t="str">
        <f t="shared" si="1"/>
        <v/>
      </c>
      <c r="C59" s="361"/>
      <c r="D59" s="259"/>
      <c r="E59" s="267"/>
      <c r="F59" s="267"/>
      <c r="G59" s="267"/>
      <c r="H59" s="267"/>
      <c r="I59" s="259"/>
      <c r="J59" s="267"/>
      <c r="K59" s="267"/>
      <c r="L59" s="267"/>
      <c r="M59" s="267"/>
      <c r="N59" s="412"/>
      <c r="O59" s="425"/>
      <c r="P59" s="259"/>
      <c r="Q59" s="267"/>
      <c r="R59" s="257"/>
      <c r="S59" s="267"/>
      <c r="T59" s="257"/>
      <c r="U59" s="433" t="s">
        <v>610</v>
      </c>
      <c r="V59" s="307"/>
      <c r="W59" s="436"/>
      <c r="X59" s="436"/>
      <c r="Y59" s="437"/>
    </row>
    <row r="60" ht="45.0" customHeight="1">
      <c r="A60" s="431">
        <v>55.0</v>
      </c>
      <c r="B60" s="351" t="str">
        <f t="shared" si="1"/>
        <v/>
      </c>
      <c r="C60" s="361"/>
      <c r="D60" s="259"/>
      <c r="E60" s="267"/>
      <c r="F60" s="267"/>
      <c r="G60" s="267"/>
      <c r="H60" s="267"/>
      <c r="I60" s="259"/>
      <c r="J60" s="267"/>
      <c r="K60" s="267"/>
      <c r="L60" s="267"/>
      <c r="M60" s="267"/>
      <c r="N60" s="412"/>
      <c r="O60" s="425"/>
      <c r="P60" s="267"/>
      <c r="Q60" s="267"/>
      <c r="R60" s="257"/>
      <c r="S60" s="267"/>
      <c r="T60" s="257"/>
      <c r="U60" s="433" t="s">
        <v>610</v>
      </c>
      <c r="V60" s="307"/>
      <c r="W60" s="436"/>
      <c r="X60" s="436"/>
      <c r="Y60" s="437"/>
    </row>
    <row r="61" ht="45.0" customHeight="1">
      <c r="A61" s="431">
        <v>56.0</v>
      </c>
      <c r="B61" s="351" t="str">
        <f t="shared" si="1"/>
        <v/>
      </c>
      <c r="C61" s="361"/>
      <c r="D61" s="259"/>
      <c r="E61" s="267"/>
      <c r="F61" s="267"/>
      <c r="G61" s="267"/>
      <c r="H61" s="267"/>
      <c r="I61" s="259"/>
      <c r="J61" s="267"/>
      <c r="K61" s="267"/>
      <c r="L61" s="267"/>
      <c r="M61" s="267"/>
      <c r="N61" s="412"/>
      <c r="O61" s="425"/>
      <c r="P61" s="267"/>
      <c r="Q61" s="267"/>
      <c r="R61" s="257"/>
      <c r="S61" s="267"/>
      <c r="T61" s="257"/>
      <c r="U61" s="433" t="s">
        <v>610</v>
      </c>
      <c r="V61" s="307"/>
      <c r="W61" s="438"/>
      <c r="X61" s="438"/>
      <c r="Y61" s="439"/>
    </row>
    <row r="62" ht="45.0" customHeight="1">
      <c r="A62" s="431">
        <v>57.0</v>
      </c>
      <c r="B62" s="351" t="str">
        <f t="shared" si="1"/>
        <v/>
      </c>
      <c r="C62" s="361"/>
      <c r="D62" s="259"/>
      <c r="E62" s="267"/>
      <c r="F62" s="267"/>
      <c r="G62" s="267"/>
      <c r="H62" s="267"/>
      <c r="I62" s="259"/>
      <c r="J62" s="267"/>
      <c r="K62" s="267"/>
      <c r="L62" s="267"/>
      <c r="M62" s="267"/>
      <c r="N62" s="412"/>
      <c r="O62" s="425"/>
      <c r="P62" s="267"/>
      <c r="Q62" s="267"/>
      <c r="R62" s="257"/>
      <c r="S62" s="267"/>
      <c r="T62" s="257"/>
      <c r="U62" s="433" t="s">
        <v>610</v>
      </c>
      <c r="V62" s="307"/>
      <c r="W62" s="436"/>
      <c r="X62" s="436"/>
      <c r="Y62" s="437"/>
    </row>
    <row r="63" ht="45.0" customHeight="1">
      <c r="A63" s="431">
        <v>58.0</v>
      </c>
      <c r="B63" s="351" t="str">
        <f t="shared" si="1"/>
        <v/>
      </c>
      <c r="C63" s="361"/>
      <c r="D63" s="259"/>
      <c r="E63" s="267"/>
      <c r="F63" s="267"/>
      <c r="G63" s="267"/>
      <c r="H63" s="267"/>
      <c r="I63" s="259"/>
      <c r="J63" s="267"/>
      <c r="K63" s="267"/>
      <c r="L63" s="267"/>
      <c r="M63" s="267"/>
      <c r="N63" s="412"/>
      <c r="O63" s="425"/>
      <c r="P63" s="267"/>
      <c r="Q63" s="267"/>
      <c r="R63" s="257"/>
      <c r="S63" s="267"/>
      <c r="T63" s="257"/>
      <c r="U63" s="433" t="s">
        <v>610</v>
      </c>
      <c r="V63" s="307"/>
      <c r="W63" s="436"/>
      <c r="X63" s="436"/>
      <c r="Y63" s="437"/>
    </row>
    <row r="64" ht="45.0" customHeight="1">
      <c r="A64" s="431">
        <v>59.0</v>
      </c>
      <c r="B64" s="351" t="str">
        <f t="shared" si="1"/>
        <v/>
      </c>
      <c r="C64" s="361"/>
      <c r="D64" s="259"/>
      <c r="E64" s="267"/>
      <c r="F64" s="267"/>
      <c r="G64" s="267"/>
      <c r="H64" s="267"/>
      <c r="I64" s="259"/>
      <c r="J64" s="267"/>
      <c r="K64" s="267"/>
      <c r="L64" s="267"/>
      <c r="M64" s="267"/>
      <c r="N64" s="412"/>
      <c r="O64" s="425"/>
      <c r="P64" s="267"/>
      <c r="Q64" s="267"/>
      <c r="R64" s="257"/>
      <c r="S64" s="267"/>
      <c r="T64" s="257"/>
      <c r="U64" s="433" t="s">
        <v>610</v>
      </c>
      <c r="V64" s="307"/>
      <c r="W64" s="436"/>
      <c r="X64" s="436"/>
      <c r="Y64" s="437"/>
    </row>
    <row r="65" ht="45.0" customHeight="1">
      <c r="A65" s="431">
        <v>60.0</v>
      </c>
      <c r="B65" s="351" t="str">
        <f t="shared" si="1"/>
        <v/>
      </c>
      <c r="C65" s="361"/>
      <c r="D65" s="259"/>
      <c r="E65" s="267"/>
      <c r="F65" s="267"/>
      <c r="G65" s="267"/>
      <c r="H65" s="267"/>
      <c r="I65" s="259"/>
      <c r="J65" s="267"/>
      <c r="K65" s="267"/>
      <c r="L65" s="267"/>
      <c r="M65" s="267"/>
      <c r="N65" s="412"/>
      <c r="O65" s="425"/>
      <c r="P65" s="267"/>
      <c r="Q65" s="267"/>
      <c r="R65" s="257"/>
      <c r="S65" s="267"/>
      <c r="T65" s="257"/>
      <c r="U65" s="433" t="s">
        <v>610</v>
      </c>
      <c r="V65" s="307"/>
      <c r="W65" s="436"/>
      <c r="X65" s="436"/>
      <c r="Y65" s="437"/>
    </row>
    <row r="66" ht="45.0" customHeight="1">
      <c r="A66" s="431">
        <v>61.0</v>
      </c>
      <c r="B66" s="351" t="str">
        <f t="shared" si="1"/>
        <v/>
      </c>
      <c r="C66" s="361"/>
      <c r="D66" s="259"/>
      <c r="E66" s="267"/>
      <c r="F66" s="267"/>
      <c r="G66" s="267"/>
      <c r="H66" s="267"/>
      <c r="I66" s="259"/>
      <c r="J66" s="267"/>
      <c r="K66" s="267"/>
      <c r="L66" s="267"/>
      <c r="M66" s="267"/>
      <c r="N66" s="412"/>
      <c r="O66" s="425"/>
      <c r="P66" s="267"/>
      <c r="Q66" s="267"/>
      <c r="R66" s="257"/>
      <c r="S66" s="267"/>
      <c r="T66" s="257"/>
      <c r="U66" s="433" t="s">
        <v>610</v>
      </c>
      <c r="V66" s="307"/>
      <c r="W66" s="436"/>
      <c r="X66" s="436"/>
      <c r="Y66" s="437"/>
    </row>
    <row r="67" ht="45.0" customHeight="1">
      <c r="A67" s="431">
        <v>62.0</v>
      </c>
      <c r="B67" s="351" t="str">
        <f t="shared" si="1"/>
        <v/>
      </c>
      <c r="C67" s="361"/>
      <c r="D67" s="259"/>
      <c r="E67" s="267"/>
      <c r="F67" s="267"/>
      <c r="G67" s="267"/>
      <c r="H67" s="267"/>
      <c r="I67" s="259"/>
      <c r="J67" s="267"/>
      <c r="K67" s="267"/>
      <c r="L67" s="267"/>
      <c r="M67" s="267"/>
      <c r="N67" s="412"/>
      <c r="O67" s="425"/>
      <c r="P67" s="267"/>
      <c r="Q67" s="267"/>
      <c r="R67" s="257"/>
      <c r="S67" s="267"/>
      <c r="T67" s="257"/>
      <c r="U67" s="433" t="s">
        <v>610</v>
      </c>
      <c r="V67" s="307"/>
      <c r="W67" s="436"/>
      <c r="X67" s="436"/>
      <c r="Y67" s="437"/>
    </row>
    <row r="68" ht="45.0" customHeight="1">
      <c r="A68" s="431">
        <v>63.0</v>
      </c>
      <c r="B68" s="351" t="str">
        <f t="shared" si="1"/>
        <v/>
      </c>
      <c r="C68" s="361"/>
      <c r="D68" s="259"/>
      <c r="E68" s="267"/>
      <c r="F68" s="267"/>
      <c r="G68" s="267"/>
      <c r="H68" s="267"/>
      <c r="I68" s="259"/>
      <c r="J68" s="267"/>
      <c r="K68" s="267"/>
      <c r="L68" s="267"/>
      <c r="M68" s="267"/>
      <c r="N68" s="412"/>
      <c r="O68" s="425"/>
      <c r="P68" s="267"/>
      <c r="Q68" s="267"/>
      <c r="R68" s="257"/>
      <c r="S68" s="267"/>
      <c r="T68" s="257"/>
      <c r="U68" s="433" t="s">
        <v>610</v>
      </c>
      <c r="V68" s="307"/>
      <c r="W68" s="436"/>
      <c r="X68" s="436"/>
      <c r="Y68" s="437"/>
    </row>
    <row r="69" ht="45.0" customHeight="1">
      <c r="A69" s="431">
        <v>64.0</v>
      </c>
      <c r="B69" s="351" t="str">
        <f t="shared" si="1"/>
        <v/>
      </c>
      <c r="C69" s="361"/>
      <c r="D69" s="259"/>
      <c r="E69" s="267"/>
      <c r="F69" s="267"/>
      <c r="G69" s="267"/>
      <c r="H69" s="267"/>
      <c r="I69" s="259"/>
      <c r="J69" s="267"/>
      <c r="K69" s="267"/>
      <c r="L69" s="267"/>
      <c r="M69" s="267"/>
      <c r="N69" s="412"/>
      <c r="O69" s="425"/>
      <c r="P69" s="267"/>
      <c r="Q69" s="267"/>
      <c r="R69" s="257"/>
      <c r="S69" s="267"/>
      <c r="T69" s="257"/>
      <c r="U69" s="433" t="s">
        <v>610</v>
      </c>
      <c r="V69" s="307"/>
      <c r="W69" s="436"/>
      <c r="X69" s="436"/>
      <c r="Y69" s="437"/>
    </row>
    <row r="70" ht="45.0" customHeight="1">
      <c r="A70" s="431">
        <v>65.0</v>
      </c>
      <c r="B70" s="351" t="str">
        <f t="shared" si="1"/>
        <v/>
      </c>
      <c r="C70" s="361"/>
      <c r="D70" s="259"/>
      <c r="E70" s="267"/>
      <c r="F70" s="267"/>
      <c r="G70" s="267"/>
      <c r="H70" s="267"/>
      <c r="I70" s="259"/>
      <c r="J70" s="267"/>
      <c r="K70" s="267"/>
      <c r="L70" s="267"/>
      <c r="M70" s="267"/>
      <c r="N70" s="412"/>
      <c r="O70" s="425"/>
      <c r="P70" s="267"/>
      <c r="Q70" s="267"/>
      <c r="R70" s="257"/>
      <c r="S70" s="267"/>
      <c r="T70" s="257"/>
      <c r="U70" s="433" t="s">
        <v>610</v>
      </c>
      <c r="V70" s="307"/>
      <c r="W70" s="436"/>
      <c r="X70" s="436"/>
      <c r="Y70" s="437"/>
    </row>
    <row r="71" ht="45.0" customHeight="1">
      <c r="A71" s="431">
        <v>66.0</v>
      </c>
      <c r="B71" s="351" t="str">
        <f t="shared" si="1"/>
        <v/>
      </c>
      <c r="C71" s="361"/>
      <c r="D71" s="440"/>
      <c r="E71" s="441"/>
      <c r="F71" s="441"/>
      <c r="G71" s="441"/>
      <c r="H71" s="441"/>
      <c r="I71" s="440"/>
      <c r="J71" s="441"/>
      <c r="K71" s="441"/>
      <c r="L71" s="441"/>
      <c r="M71" s="441"/>
      <c r="N71" s="442"/>
      <c r="O71" s="443"/>
      <c r="P71" s="441"/>
      <c r="Q71" s="441"/>
      <c r="R71" s="257"/>
      <c r="S71" s="441"/>
      <c r="T71" s="257"/>
      <c r="U71" s="433" t="s">
        <v>610</v>
      </c>
      <c r="V71" s="444"/>
      <c r="W71" s="445"/>
      <c r="X71" s="445"/>
      <c r="Y71" s="446"/>
    </row>
    <row r="72" ht="15.75" customHeight="1">
      <c r="A72" s="447"/>
      <c r="B72" s="447"/>
      <c r="C72" s="447"/>
      <c r="D72" s="447"/>
      <c r="E72" s="447"/>
      <c r="F72" s="447"/>
      <c r="G72" s="447"/>
      <c r="H72" s="447"/>
      <c r="I72" s="447"/>
      <c r="J72" s="447"/>
      <c r="K72" s="447"/>
      <c r="L72" s="447"/>
      <c r="M72" s="447"/>
      <c r="N72" s="448"/>
      <c r="O72" s="448"/>
      <c r="P72" s="447"/>
      <c r="Q72" s="447"/>
      <c r="R72" s="447"/>
      <c r="S72" s="447"/>
      <c r="T72" s="447"/>
      <c r="W72" s="392"/>
      <c r="X72" s="392"/>
      <c r="Y72" s="392"/>
    </row>
    <row r="73" ht="15.75" customHeight="1">
      <c r="A73" s="447"/>
      <c r="B73" s="447"/>
      <c r="C73" s="447"/>
      <c r="D73" s="447"/>
      <c r="E73" s="447"/>
      <c r="F73" s="447"/>
      <c r="G73" s="447"/>
      <c r="H73" s="447"/>
      <c r="I73" s="447"/>
      <c r="J73" s="447"/>
      <c r="K73" s="447"/>
      <c r="L73" s="447"/>
      <c r="M73" s="447"/>
      <c r="N73" s="447"/>
      <c r="O73" s="449">
        <f>sum(O6:O71)</f>
        <v>3419317326</v>
      </c>
      <c r="P73" s="447"/>
      <c r="Q73" s="447"/>
      <c r="R73" s="447"/>
      <c r="S73" s="447"/>
      <c r="T73" s="447"/>
      <c r="W73" s="392"/>
      <c r="X73" s="392"/>
      <c r="Y73" s="392"/>
    </row>
    <row r="74" ht="15.75" customHeight="1">
      <c r="A74" s="447"/>
      <c r="B74" s="447"/>
      <c r="C74" s="447"/>
      <c r="D74" s="447"/>
      <c r="E74" s="447"/>
      <c r="F74" s="447"/>
      <c r="G74" s="447"/>
      <c r="H74" s="447"/>
      <c r="I74" s="447"/>
      <c r="J74" s="447"/>
      <c r="K74" s="447"/>
      <c r="L74" s="447"/>
      <c r="M74" s="447"/>
      <c r="N74" s="447"/>
      <c r="O74" s="447"/>
      <c r="P74" s="447"/>
      <c r="Q74" s="447"/>
      <c r="R74" s="447"/>
      <c r="S74" s="447"/>
      <c r="T74" s="447"/>
      <c r="W74" s="392"/>
      <c r="X74" s="392"/>
      <c r="Y74" s="392"/>
    </row>
    <row r="75" ht="15.75" customHeight="1">
      <c r="W75" s="392"/>
      <c r="X75" s="392"/>
      <c r="Y75" s="392"/>
    </row>
    <row r="76" ht="16.5" customHeight="1">
      <c r="A76" s="450" t="s">
        <v>738</v>
      </c>
      <c r="B76" s="8"/>
      <c r="C76" s="8"/>
      <c r="D76" s="8"/>
      <c r="E76" s="8"/>
      <c r="F76" s="8"/>
      <c r="G76" s="8"/>
      <c r="H76" s="8"/>
      <c r="I76" s="8"/>
      <c r="J76" s="8"/>
      <c r="K76" s="8"/>
      <c r="L76" s="8"/>
      <c r="M76" s="451"/>
      <c r="N76" s="452"/>
      <c r="O76" s="452">
        <f>SUMIFS(O6:O71,J6:J71,Master!C29, C6:C71,"&lt;&gt;")+SUMIFS(O6:O71,J6:J71,Master!C31, C6:C71,"&lt;&gt;")</f>
        <v>556900000</v>
      </c>
      <c r="W76" s="392"/>
      <c r="X76" s="392"/>
      <c r="Y76" s="392"/>
    </row>
    <row r="77" ht="16.5" customHeight="1">
      <c r="A77" s="450" t="s">
        <v>739</v>
      </c>
      <c r="B77" s="8"/>
      <c r="C77" s="8"/>
      <c r="D77" s="8"/>
      <c r="E77" s="8"/>
      <c r="F77" s="8"/>
      <c r="G77" s="8"/>
      <c r="H77" s="8"/>
      <c r="I77" s="8"/>
      <c r="J77" s="8"/>
      <c r="K77" s="8"/>
      <c r="L77" s="8"/>
      <c r="M77" s="451"/>
      <c r="N77" s="452"/>
      <c r="O77" s="452">
        <v>2.4E9</v>
      </c>
      <c r="W77" s="392"/>
      <c r="X77" s="392"/>
      <c r="Y77" s="392"/>
    </row>
    <row r="78" ht="16.5" customHeight="1">
      <c r="A78" s="450" t="s">
        <v>740</v>
      </c>
      <c r="B78" s="8"/>
      <c r="C78" s="8"/>
      <c r="D78" s="8"/>
      <c r="E78" s="8"/>
      <c r="F78" s="8"/>
      <c r="G78" s="8"/>
      <c r="H78" s="8"/>
      <c r="I78" s="8"/>
      <c r="J78" s="8"/>
      <c r="K78" s="8"/>
      <c r="L78" s="8"/>
      <c r="M78" s="451"/>
      <c r="N78" s="452"/>
      <c r="O78" s="452">
        <f>O76-O77</f>
        <v>-1843100000</v>
      </c>
      <c r="W78" s="392"/>
      <c r="X78" s="392"/>
      <c r="Y78" s="392"/>
    </row>
    <row r="79" ht="15.75" customHeight="1">
      <c r="W79" s="392"/>
      <c r="X79" s="392"/>
      <c r="Y79" s="392"/>
    </row>
    <row r="80" ht="15.75" customHeight="1">
      <c r="A80" s="450" t="s">
        <v>741</v>
      </c>
      <c r="B80" s="8"/>
      <c r="C80" s="8"/>
      <c r="D80" s="8"/>
      <c r="E80" s="8"/>
      <c r="F80" s="8"/>
      <c r="G80" s="8"/>
      <c r="H80" s="8"/>
      <c r="I80" s="8"/>
      <c r="J80" s="8"/>
      <c r="K80" s="8"/>
      <c r="L80" s="8"/>
      <c r="M80" s="451"/>
      <c r="N80" s="452"/>
      <c r="O80" s="453">
        <f>COUNTIFS(J6:J71, Master!C30, C6:C71,Master!A60)</f>
        <v>0</v>
      </c>
      <c r="W80" s="392"/>
      <c r="X80" s="392"/>
      <c r="Y80" s="392"/>
    </row>
    <row r="81" ht="15.75" customHeight="1">
      <c r="A81" s="450" t="s">
        <v>742</v>
      </c>
      <c r="B81" s="8"/>
      <c r="C81" s="8"/>
      <c r="D81" s="8"/>
      <c r="E81" s="8"/>
      <c r="F81" s="8"/>
      <c r="G81" s="8"/>
      <c r="H81" s="8"/>
      <c r="I81" s="8"/>
      <c r="J81" s="8"/>
      <c r="K81" s="8"/>
      <c r="L81" s="8"/>
      <c r="M81" s="451"/>
      <c r="N81" s="452"/>
      <c r="O81" s="453">
        <v>14.0</v>
      </c>
      <c r="W81" s="392"/>
      <c r="X81" s="392"/>
      <c r="Y81" s="392"/>
    </row>
    <row r="82" ht="15.75" customHeight="1">
      <c r="A82" s="450" t="s">
        <v>740</v>
      </c>
      <c r="B82" s="8"/>
      <c r="C82" s="8"/>
      <c r="D82" s="8"/>
      <c r="E82" s="8"/>
      <c r="F82" s="8"/>
      <c r="G82" s="8"/>
      <c r="H82" s="8"/>
      <c r="I82" s="8"/>
      <c r="J82" s="8"/>
      <c r="K82" s="8"/>
      <c r="L82" s="8"/>
      <c r="M82" s="451"/>
      <c r="N82" s="452"/>
      <c r="O82" s="453">
        <f>O80-O81</f>
        <v>-14</v>
      </c>
      <c r="W82" s="392"/>
      <c r="X82" s="392"/>
      <c r="Y82" s="392"/>
    </row>
    <row r="83" ht="15.75" customHeight="1">
      <c r="W83" s="392"/>
      <c r="X83" s="392"/>
      <c r="Y83" s="392"/>
    </row>
    <row r="84" ht="15.75" customHeight="1">
      <c r="W84" s="392"/>
      <c r="X84" s="392"/>
      <c r="Y84" s="392"/>
    </row>
    <row r="85" ht="15.75" customHeight="1">
      <c r="W85" s="392"/>
      <c r="X85" s="392"/>
      <c r="Y85" s="392"/>
    </row>
    <row r="86" ht="15.75" customHeight="1">
      <c r="W86" s="392"/>
      <c r="X86" s="392"/>
      <c r="Y86" s="392"/>
    </row>
    <row r="87" ht="15.75" customHeight="1">
      <c r="W87" s="392"/>
      <c r="X87" s="392"/>
      <c r="Y87" s="392"/>
    </row>
    <row r="88" ht="15.75" customHeight="1">
      <c r="W88" s="392"/>
      <c r="X88" s="392"/>
      <c r="Y88" s="392"/>
    </row>
    <row r="89" ht="15.75" customHeight="1">
      <c r="W89" s="392"/>
      <c r="X89" s="392"/>
      <c r="Y89" s="392"/>
    </row>
    <row r="90" ht="15.75" customHeight="1">
      <c r="W90" s="392"/>
      <c r="X90" s="392"/>
      <c r="Y90" s="392"/>
    </row>
    <row r="91" ht="15.75" customHeight="1">
      <c r="W91" s="392"/>
      <c r="X91" s="392"/>
      <c r="Y91" s="392"/>
    </row>
    <row r="92" ht="15.75" customHeight="1">
      <c r="W92" s="392"/>
      <c r="X92" s="392"/>
      <c r="Y92" s="392"/>
    </row>
    <row r="93" ht="15.75" customHeight="1">
      <c r="W93" s="392"/>
      <c r="X93" s="392"/>
      <c r="Y93" s="392"/>
    </row>
    <row r="94" ht="15.75" customHeight="1">
      <c r="W94" s="392"/>
      <c r="X94" s="392"/>
      <c r="Y94" s="392"/>
    </row>
    <row r="95" ht="15.75" customHeight="1">
      <c r="W95" s="392"/>
      <c r="X95" s="392"/>
      <c r="Y95" s="392"/>
    </row>
    <row r="96" ht="15.75" customHeight="1">
      <c r="W96" s="392"/>
      <c r="X96" s="392"/>
      <c r="Y96" s="392"/>
    </row>
    <row r="97" ht="15.75" customHeight="1">
      <c r="W97" s="392"/>
      <c r="X97" s="392"/>
      <c r="Y97" s="392"/>
    </row>
    <row r="98" ht="15.75" customHeight="1">
      <c r="W98" s="392"/>
      <c r="X98" s="392"/>
      <c r="Y98" s="392"/>
    </row>
    <row r="99" ht="15.75" customHeight="1">
      <c r="W99" s="392"/>
      <c r="X99" s="392"/>
      <c r="Y99" s="392"/>
    </row>
    <row r="100" ht="15.75" customHeight="1">
      <c r="W100" s="392"/>
      <c r="X100" s="392"/>
      <c r="Y100" s="392"/>
    </row>
    <row r="101" ht="15.75" customHeight="1">
      <c r="W101" s="392"/>
      <c r="X101" s="392"/>
      <c r="Y101" s="392"/>
    </row>
    <row r="102" ht="15.75" customHeight="1">
      <c r="W102" s="392"/>
      <c r="X102" s="392"/>
      <c r="Y102" s="392"/>
    </row>
    <row r="103" ht="15.75" customHeight="1">
      <c r="W103" s="392"/>
      <c r="X103" s="392"/>
      <c r="Y103" s="392"/>
    </row>
    <row r="104" ht="15.75" customHeight="1">
      <c r="W104" s="392"/>
      <c r="X104" s="392"/>
      <c r="Y104" s="392"/>
    </row>
    <row r="105" ht="15.75" customHeight="1">
      <c r="W105" s="392"/>
      <c r="X105" s="392"/>
      <c r="Y105" s="392"/>
    </row>
    <row r="106" ht="15.75" customHeight="1">
      <c r="W106" s="392"/>
      <c r="X106" s="392"/>
      <c r="Y106" s="392"/>
    </row>
    <row r="107" ht="15.75" customHeight="1">
      <c r="W107" s="392"/>
      <c r="X107" s="392"/>
      <c r="Y107" s="392"/>
    </row>
    <row r="108" ht="15.75" customHeight="1">
      <c r="W108" s="392"/>
      <c r="X108" s="392"/>
      <c r="Y108" s="392"/>
    </row>
    <row r="109" ht="15.75" customHeight="1">
      <c r="W109" s="392"/>
      <c r="X109" s="392"/>
      <c r="Y109" s="392"/>
    </row>
    <row r="110" ht="15.75" customHeight="1">
      <c r="W110" s="392"/>
      <c r="X110" s="392"/>
      <c r="Y110" s="392"/>
    </row>
    <row r="111" ht="15.75" customHeight="1">
      <c r="W111" s="392"/>
      <c r="X111" s="392"/>
      <c r="Y111" s="392"/>
    </row>
    <row r="112" ht="15.75" customHeight="1">
      <c r="W112" s="392"/>
      <c r="X112" s="392"/>
      <c r="Y112" s="392"/>
    </row>
    <row r="113" ht="15.75" customHeight="1">
      <c r="W113" s="392"/>
      <c r="X113" s="392"/>
      <c r="Y113" s="392"/>
    </row>
    <row r="114" ht="15.75" customHeight="1">
      <c r="W114" s="392"/>
      <c r="X114" s="392"/>
      <c r="Y114" s="392"/>
    </row>
    <row r="115" ht="15.75" customHeight="1">
      <c r="W115" s="392"/>
      <c r="X115" s="392"/>
      <c r="Y115" s="392"/>
    </row>
    <row r="116" ht="15.75" customHeight="1">
      <c r="W116" s="392"/>
      <c r="X116" s="392"/>
      <c r="Y116" s="392"/>
    </row>
    <row r="117" ht="15.75" customHeight="1">
      <c r="W117" s="392"/>
      <c r="X117" s="392"/>
      <c r="Y117" s="392"/>
    </row>
    <row r="118" ht="15.75" customHeight="1">
      <c r="W118" s="392"/>
      <c r="X118" s="392"/>
      <c r="Y118" s="392"/>
    </row>
    <row r="119" ht="15.75" customHeight="1">
      <c r="W119" s="392"/>
      <c r="X119" s="392"/>
      <c r="Y119" s="392"/>
    </row>
    <row r="120" ht="15.75" customHeight="1">
      <c r="W120" s="392"/>
      <c r="X120" s="392"/>
      <c r="Y120" s="392"/>
    </row>
    <row r="121" ht="15.75" customHeight="1">
      <c r="W121" s="392"/>
      <c r="X121" s="392"/>
      <c r="Y121" s="392"/>
    </row>
    <row r="122" ht="15.75" customHeight="1">
      <c r="W122" s="392"/>
      <c r="X122" s="392"/>
      <c r="Y122" s="392"/>
    </row>
    <row r="123" ht="15.75" customHeight="1">
      <c r="W123" s="392"/>
      <c r="X123" s="392"/>
      <c r="Y123" s="392"/>
    </row>
    <row r="124" ht="15.75" customHeight="1">
      <c r="W124" s="392"/>
      <c r="X124" s="392"/>
      <c r="Y124" s="392"/>
    </row>
    <row r="125" ht="15.75" customHeight="1">
      <c r="W125" s="392"/>
      <c r="X125" s="392"/>
      <c r="Y125" s="392"/>
    </row>
    <row r="126" ht="15.75" customHeight="1">
      <c r="W126" s="392"/>
      <c r="X126" s="392"/>
      <c r="Y126" s="392"/>
    </row>
    <row r="127" ht="15.75" customHeight="1">
      <c r="W127" s="392"/>
      <c r="X127" s="392"/>
      <c r="Y127" s="392"/>
    </row>
    <row r="128" ht="15.75" customHeight="1">
      <c r="W128" s="392"/>
      <c r="X128" s="392"/>
      <c r="Y128" s="392"/>
    </row>
    <row r="129" ht="15.75" customHeight="1">
      <c r="W129" s="392"/>
      <c r="X129" s="392"/>
      <c r="Y129" s="392"/>
    </row>
    <row r="130" ht="15.75" customHeight="1">
      <c r="W130" s="392"/>
      <c r="X130" s="392"/>
      <c r="Y130" s="392"/>
    </row>
    <row r="131" ht="15.75" customHeight="1">
      <c r="W131" s="392"/>
      <c r="X131" s="392"/>
      <c r="Y131" s="392"/>
    </row>
    <row r="132" ht="15.75" customHeight="1">
      <c r="W132" s="392"/>
      <c r="X132" s="392"/>
      <c r="Y132" s="392"/>
    </row>
    <row r="133" ht="15.75" customHeight="1">
      <c r="W133" s="392"/>
      <c r="X133" s="392"/>
      <c r="Y133" s="392"/>
    </row>
    <row r="134" ht="15.75" customHeight="1">
      <c r="W134" s="392"/>
      <c r="X134" s="392"/>
      <c r="Y134" s="392"/>
    </row>
    <row r="135" ht="15.75" customHeight="1">
      <c r="W135" s="392"/>
      <c r="X135" s="392"/>
      <c r="Y135" s="392"/>
    </row>
    <row r="136" ht="15.75" customHeight="1">
      <c r="W136" s="392"/>
      <c r="X136" s="392"/>
      <c r="Y136" s="392"/>
    </row>
    <row r="137" ht="15.75" customHeight="1">
      <c r="W137" s="392"/>
      <c r="X137" s="392"/>
      <c r="Y137" s="392"/>
    </row>
    <row r="138" ht="15.75" customHeight="1">
      <c r="W138" s="392"/>
      <c r="X138" s="392"/>
      <c r="Y138" s="392"/>
    </row>
    <row r="139" ht="15.75" customHeight="1">
      <c r="W139" s="392"/>
      <c r="X139" s="392"/>
      <c r="Y139" s="392"/>
    </row>
    <row r="140" ht="15.75" customHeight="1">
      <c r="W140" s="392"/>
      <c r="X140" s="392"/>
      <c r="Y140" s="392"/>
    </row>
    <row r="141" ht="15.75" customHeight="1">
      <c r="W141" s="392"/>
      <c r="X141" s="392"/>
      <c r="Y141" s="392"/>
    </row>
    <row r="142" ht="15.75" customHeight="1">
      <c r="W142" s="392"/>
      <c r="X142" s="392"/>
      <c r="Y142" s="392"/>
    </row>
    <row r="143" ht="15.75" customHeight="1">
      <c r="W143" s="392"/>
      <c r="X143" s="392"/>
      <c r="Y143" s="392"/>
    </row>
    <row r="144" ht="15.75" customHeight="1">
      <c r="W144" s="392"/>
      <c r="X144" s="392"/>
      <c r="Y144" s="392"/>
    </row>
    <row r="145" ht="15.75" customHeight="1">
      <c r="W145" s="392"/>
      <c r="X145" s="392"/>
      <c r="Y145" s="392"/>
    </row>
    <row r="146" ht="15.75" customHeight="1">
      <c r="W146" s="392"/>
      <c r="X146" s="392"/>
      <c r="Y146" s="392"/>
    </row>
    <row r="147" ht="15.75" customHeight="1">
      <c r="W147" s="392"/>
      <c r="X147" s="392"/>
      <c r="Y147" s="392"/>
    </row>
    <row r="148" ht="15.75" customHeight="1">
      <c r="W148" s="392"/>
      <c r="X148" s="392"/>
      <c r="Y148" s="392"/>
    </row>
    <row r="149" ht="15.75" customHeight="1">
      <c r="W149" s="392"/>
      <c r="X149" s="392"/>
      <c r="Y149" s="392"/>
    </row>
    <row r="150" ht="15.75" customHeight="1">
      <c r="W150" s="392"/>
      <c r="X150" s="392"/>
      <c r="Y150" s="392"/>
    </row>
    <row r="151" ht="15.75" customHeight="1">
      <c r="W151" s="392"/>
      <c r="X151" s="392"/>
      <c r="Y151" s="392"/>
    </row>
    <row r="152" ht="15.75" customHeight="1">
      <c r="W152" s="392"/>
      <c r="X152" s="392"/>
      <c r="Y152" s="392"/>
    </row>
    <row r="153" ht="15.75" customHeight="1">
      <c r="W153" s="392"/>
      <c r="X153" s="392"/>
      <c r="Y153" s="392"/>
    </row>
    <row r="154" ht="15.75" customHeight="1">
      <c r="W154" s="392"/>
      <c r="X154" s="392"/>
      <c r="Y154" s="392"/>
    </row>
    <row r="155" ht="15.75" customHeight="1">
      <c r="W155" s="392"/>
      <c r="X155" s="392"/>
      <c r="Y155" s="392"/>
    </row>
    <row r="156" ht="15.75" customHeight="1">
      <c r="W156" s="392"/>
      <c r="X156" s="392"/>
      <c r="Y156" s="392"/>
    </row>
    <row r="157" ht="15.75" customHeight="1">
      <c r="W157" s="392"/>
      <c r="X157" s="392"/>
      <c r="Y157" s="392"/>
    </row>
    <row r="158" ht="15.75" customHeight="1">
      <c r="W158" s="392"/>
      <c r="X158" s="392"/>
      <c r="Y158" s="392"/>
    </row>
    <row r="159" ht="15.75" customHeight="1">
      <c r="W159" s="392"/>
      <c r="X159" s="392"/>
      <c r="Y159" s="392"/>
    </row>
    <row r="160" ht="15.75" customHeight="1">
      <c r="W160" s="392"/>
      <c r="X160" s="392"/>
      <c r="Y160" s="392"/>
    </row>
    <row r="161" ht="15.75" customHeight="1">
      <c r="W161" s="392"/>
      <c r="X161" s="392"/>
      <c r="Y161" s="392"/>
    </row>
    <row r="162" ht="15.75" customHeight="1">
      <c r="W162" s="392"/>
      <c r="X162" s="392"/>
      <c r="Y162" s="392"/>
    </row>
    <row r="163" ht="15.75" customHeight="1">
      <c r="W163" s="392"/>
      <c r="X163" s="392"/>
      <c r="Y163" s="392"/>
    </row>
    <row r="164" ht="15.75" customHeight="1">
      <c r="W164" s="392"/>
      <c r="X164" s="392"/>
      <c r="Y164" s="392"/>
    </row>
    <row r="165" ht="15.75" customHeight="1">
      <c r="W165" s="392"/>
      <c r="X165" s="392"/>
      <c r="Y165" s="392"/>
    </row>
    <row r="166" ht="15.75" customHeight="1">
      <c r="W166" s="392"/>
      <c r="X166" s="392"/>
      <c r="Y166" s="392"/>
    </row>
    <row r="167" ht="15.75" customHeight="1">
      <c r="W167" s="392"/>
      <c r="X167" s="392"/>
      <c r="Y167" s="392"/>
    </row>
    <row r="168" ht="15.75" customHeight="1">
      <c r="W168" s="392"/>
      <c r="X168" s="392"/>
      <c r="Y168" s="392"/>
    </row>
    <row r="169" ht="15.75" customHeight="1">
      <c r="W169" s="392"/>
      <c r="X169" s="392"/>
      <c r="Y169" s="392"/>
    </row>
    <row r="170" ht="15.75" customHeight="1">
      <c r="W170" s="392"/>
      <c r="X170" s="392"/>
      <c r="Y170" s="392"/>
    </row>
    <row r="171" ht="15.75" customHeight="1">
      <c r="W171" s="392"/>
      <c r="X171" s="392"/>
      <c r="Y171" s="392"/>
    </row>
    <row r="172" ht="15.75" customHeight="1">
      <c r="W172" s="392"/>
      <c r="X172" s="392"/>
      <c r="Y172" s="392"/>
    </row>
    <row r="173" ht="15.75" customHeight="1">
      <c r="W173" s="392"/>
      <c r="X173" s="392"/>
      <c r="Y173" s="392"/>
    </row>
    <row r="174" ht="15.75" customHeight="1">
      <c r="W174" s="392"/>
      <c r="X174" s="392"/>
      <c r="Y174" s="392"/>
    </row>
    <row r="175" ht="15.75" customHeight="1">
      <c r="W175" s="392"/>
      <c r="X175" s="392"/>
      <c r="Y175" s="392"/>
    </row>
    <row r="176" ht="15.75" customHeight="1">
      <c r="W176" s="392"/>
      <c r="X176" s="392"/>
      <c r="Y176" s="392"/>
    </row>
    <row r="177" ht="15.75" customHeight="1">
      <c r="W177" s="392"/>
      <c r="X177" s="392"/>
      <c r="Y177" s="392"/>
    </row>
    <row r="178" ht="15.75" customHeight="1">
      <c r="W178" s="392"/>
      <c r="X178" s="392"/>
      <c r="Y178" s="392"/>
    </row>
    <row r="179" ht="15.75" customHeight="1">
      <c r="W179" s="392"/>
      <c r="X179" s="392"/>
      <c r="Y179" s="392"/>
    </row>
    <row r="180" ht="15.75" customHeight="1">
      <c r="W180" s="392"/>
      <c r="X180" s="392"/>
      <c r="Y180" s="392"/>
    </row>
    <row r="181" ht="15.75" customHeight="1">
      <c r="W181" s="392"/>
      <c r="X181" s="392"/>
      <c r="Y181" s="392"/>
    </row>
    <row r="182" ht="15.75" customHeight="1">
      <c r="W182" s="392"/>
      <c r="X182" s="392"/>
      <c r="Y182" s="392"/>
    </row>
    <row r="183" ht="15.75" customHeight="1">
      <c r="W183" s="392"/>
      <c r="X183" s="392"/>
      <c r="Y183" s="392"/>
    </row>
    <row r="184" ht="15.75" customHeight="1">
      <c r="W184" s="392"/>
      <c r="X184" s="392"/>
      <c r="Y184" s="392"/>
    </row>
    <row r="185" ht="15.75" customHeight="1">
      <c r="W185" s="392"/>
      <c r="X185" s="392"/>
      <c r="Y185" s="392"/>
    </row>
    <row r="186" ht="15.75" customHeight="1">
      <c r="W186" s="392"/>
      <c r="X186" s="392"/>
      <c r="Y186" s="392"/>
    </row>
    <row r="187" ht="15.75" customHeight="1">
      <c r="W187" s="392"/>
      <c r="X187" s="392"/>
      <c r="Y187" s="392"/>
    </row>
    <row r="188" ht="15.75" customHeight="1">
      <c r="W188" s="392"/>
      <c r="X188" s="392"/>
      <c r="Y188" s="392"/>
    </row>
    <row r="189" ht="15.75" customHeight="1">
      <c r="W189" s="392"/>
      <c r="X189" s="392"/>
      <c r="Y189" s="392"/>
    </row>
    <row r="190" ht="15.75" customHeight="1">
      <c r="W190" s="392"/>
      <c r="X190" s="392"/>
      <c r="Y190" s="392"/>
    </row>
    <row r="191" ht="15.75" customHeight="1">
      <c r="W191" s="392"/>
      <c r="X191" s="392"/>
      <c r="Y191" s="392"/>
    </row>
    <row r="192" ht="15.75" customHeight="1">
      <c r="W192" s="392"/>
      <c r="X192" s="392"/>
      <c r="Y192" s="392"/>
    </row>
    <row r="193" ht="15.75" customHeight="1">
      <c r="W193" s="392"/>
      <c r="X193" s="392"/>
      <c r="Y193" s="392"/>
    </row>
    <row r="194" ht="15.75" customHeight="1">
      <c r="W194" s="392"/>
      <c r="X194" s="392"/>
      <c r="Y194" s="392"/>
    </row>
    <row r="195" ht="15.75" customHeight="1">
      <c r="W195" s="392"/>
      <c r="X195" s="392"/>
      <c r="Y195" s="392"/>
    </row>
    <row r="196" ht="15.75" customHeight="1">
      <c r="W196" s="392"/>
      <c r="X196" s="392"/>
      <c r="Y196" s="392"/>
    </row>
    <row r="197" ht="15.75" customHeight="1">
      <c r="W197" s="392"/>
      <c r="X197" s="392"/>
      <c r="Y197" s="392"/>
    </row>
    <row r="198" ht="15.75" customHeight="1">
      <c r="W198" s="392"/>
      <c r="X198" s="392"/>
      <c r="Y198" s="392"/>
    </row>
    <row r="199" ht="15.75" customHeight="1">
      <c r="W199" s="392"/>
      <c r="X199" s="392"/>
      <c r="Y199" s="392"/>
    </row>
    <row r="200" ht="15.75" customHeight="1">
      <c r="W200" s="392"/>
      <c r="X200" s="392"/>
      <c r="Y200" s="392"/>
    </row>
    <row r="201" ht="15.75" customHeight="1">
      <c r="W201" s="392"/>
      <c r="X201" s="392"/>
      <c r="Y201" s="392"/>
    </row>
    <row r="202" ht="15.75" customHeight="1">
      <c r="W202" s="392"/>
      <c r="X202" s="392"/>
      <c r="Y202" s="392"/>
    </row>
    <row r="203" ht="15.75" customHeight="1">
      <c r="W203" s="392"/>
      <c r="X203" s="392"/>
      <c r="Y203" s="392"/>
    </row>
    <row r="204" ht="15.75" customHeight="1">
      <c r="W204" s="392"/>
      <c r="X204" s="392"/>
      <c r="Y204" s="392"/>
    </row>
    <row r="205" ht="15.75" customHeight="1">
      <c r="W205" s="392"/>
      <c r="X205" s="392"/>
      <c r="Y205" s="392"/>
    </row>
    <row r="206" ht="15.75" customHeight="1">
      <c r="W206" s="392"/>
      <c r="X206" s="392"/>
      <c r="Y206" s="392"/>
    </row>
    <row r="207" ht="15.75" customHeight="1">
      <c r="W207" s="392"/>
      <c r="X207" s="392"/>
      <c r="Y207" s="392"/>
    </row>
    <row r="208" ht="15.75" customHeight="1">
      <c r="W208" s="392"/>
      <c r="X208" s="392"/>
      <c r="Y208" s="392"/>
    </row>
    <row r="209" ht="15.75" customHeight="1">
      <c r="W209" s="392"/>
      <c r="X209" s="392"/>
      <c r="Y209" s="392"/>
    </row>
    <row r="210" ht="15.75" customHeight="1">
      <c r="W210" s="392"/>
      <c r="X210" s="392"/>
      <c r="Y210" s="392"/>
    </row>
    <row r="211" ht="15.75" customHeight="1">
      <c r="W211" s="392"/>
      <c r="X211" s="392"/>
      <c r="Y211" s="392"/>
    </row>
    <row r="212" ht="15.75" customHeight="1">
      <c r="W212" s="392"/>
      <c r="X212" s="392"/>
      <c r="Y212" s="392"/>
    </row>
    <row r="213" ht="15.75" customHeight="1">
      <c r="W213" s="392"/>
      <c r="X213" s="392"/>
      <c r="Y213" s="392"/>
    </row>
    <row r="214" ht="15.75" customHeight="1">
      <c r="W214" s="392"/>
      <c r="X214" s="392"/>
      <c r="Y214" s="392"/>
    </row>
    <row r="215" ht="15.75" customHeight="1">
      <c r="W215" s="392"/>
      <c r="X215" s="392"/>
      <c r="Y215" s="392"/>
    </row>
    <row r="216" ht="15.75" customHeight="1">
      <c r="W216" s="392"/>
      <c r="X216" s="392"/>
      <c r="Y216" s="392"/>
    </row>
    <row r="217" ht="15.75" customHeight="1">
      <c r="W217" s="392"/>
      <c r="X217" s="392"/>
      <c r="Y217" s="392"/>
    </row>
    <row r="218" ht="15.75" customHeight="1">
      <c r="W218" s="392"/>
      <c r="X218" s="392"/>
      <c r="Y218" s="392"/>
    </row>
    <row r="219" ht="15.75" customHeight="1">
      <c r="W219" s="392"/>
      <c r="X219" s="392"/>
      <c r="Y219" s="392"/>
    </row>
    <row r="220" ht="15.75" customHeight="1">
      <c r="W220" s="392"/>
      <c r="X220" s="392"/>
      <c r="Y220" s="392"/>
    </row>
    <row r="221" ht="15.75" customHeight="1">
      <c r="W221" s="392"/>
      <c r="X221" s="392"/>
      <c r="Y221" s="392"/>
    </row>
    <row r="222" ht="15.75" customHeight="1">
      <c r="W222" s="392"/>
      <c r="X222" s="392"/>
      <c r="Y222" s="392"/>
    </row>
    <row r="223" ht="15.75" customHeight="1">
      <c r="W223" s="392"/>
      <c r="X223" s="392"/>
      <c r="Y223" s="392"/>
    </row>
    <row r="224" ht="15.75" customHeight="1">
      <c r="W224" s="392"/>
      <c r="X224" s="392"/>
      <c r="Y224" s="392"/>
    </row>
    <row r="225" ht="15.75" customHeight="1">
      <c r="W225" s="392"/>
      <c r="X225" s="392"/>
      <c r="Y225" s="392"/>
    </row>
    <row r="226" ht="15.75" customHeight="1">
      <c r="W226" s="392"/>
      <c r="X226" s="392"/>
      <c r="Y226" s="392"/>
    </row>
    <row r="227" ht="15.75" customHeight="1">
      <c r="W227" s="392"/>
      <c r="X227" s="392"/>
      <c r="Y227" s="392"/>
    </row>
    <row r="228" ht="15.75" customHeight="1">
      <c r="W228" s="392"/>
      <c r="X228" s="392"/>
      <c r="Y228" s="392"/>
    </row>
    <row r="229" ht="15.75" customHeight="1">
      <c r="W229" s="392"/>
      <c r="X229" s="392"/>
      <c r="Y229" s="392"/>
    </row>
    <row r="230" ht="15.75" customHeight="1">
      <c r="W230" s="392"/>
      <c r="X230" s="392"/>
      <c r="Y230" s="392"/>
    </row>
    <row r="231" ht="15.75" customHeight="1">
      <c r="W231" s="392"/>
      <c r="X231" s="392"/>
      <c r="Y231" s="392"/>
    </row>
    <row r="232" ht="15.75" customHeight="1">
      <c r="W232" s="392"/>
      <c r="X232" s="392"/>
      <c r="Y232" s="392"/>
    </row>
    <row r="233" ht="15.75" customHeight="1">
      <c r="W233" s="392"/>
      <c r="X233" s="392"/>
      <c r="Y233" s="392"/>
    </row>
    <row r="234" ht="15.75" customHeight="1">
      <c r="W234" s="392"/>
      <c r="X234" s="392"/>
      <c r="Y234" s="392"/>
    </row>
    <row r="235" ht="15.75" customHeight="1">
      <c r="W235" s="392"/>
      <c r="X235" s="392"/>
      <c r="Y235" s="392"/>
    </row>
    <row r="236" ht="15.75" customHeight="1">
      <c r="W236" s="392"/>
      <c r="X236" s="392"/>
      <c r="Y236" s="392"/>
    </row>
    <row r="237" ht="15.75" customHeight="1">
      <c r="W237" s="392"/>
      <c r="X237" s="392"/>
      <c r="Y237" s="392"/>
    </row>
    <row r="238" ht="15.75" customHeight="1">
      <c r="W238" s="392"/>
      <c r="X238" s="392"/>
      <c r="Y238" s="392"/>
    </row>
    <row r="239" ht="15.75" customHeight="1">
      <c r="W239" s="392"/>
      <c r="X239" s="392"/>
      <c r="Y239" s="392"/>
    </row>
    <row r="240" ht="15.75" customHeight="1">
      <c r="W240" s="392"/>
      <c r="X240" s="392"/>
      <c r="Y240" s="392"/>
    </row>
    <row r="241" ht="15.75" customHeight="1">
      <c r="W241" s="392"/>
      <c r="X241" s="392"/>
      <c r="Y241" s="392"/>
    </row>
    <row r="242" ht="15.75" customHeight="1">
      <c r="W242" s="392"/>
      <c r="X242" s="392"/>
      <c r="Y242" s="392"/>
    </row>
    <row r="243" ht="15.75" customHeight="1">
      <c r="W243" s="392"/>
      <c r="X243" s="392"/>
      <c r="Y243" s="392"/>
    </row>
    <row r="244" ht="15.75" customHeight="1">
      <c r="W244" s="392"/>
      <c r="X244" s="392"/>
      <c r="Y244" s="392"/>
    </row>
    <row r="245" ht="15.75" customHeight="1">
      <c r="W245" s="392"/>
      <c r="X245" s="392"/>
      <c r="Y245" s="392"/>
    </row>
    <row r="246" ht="15.75" customHeight="1">
      <c r="W246" s="392"/>
      <c r="X246" s="392"/>
      <c r="Y246" s="392"/>
    </row>
    <row r="247" ht="15.75" customHeight="1">
      <c r="W247" s="392"/>
      <c r="X247" s="392"/>
      <c r="Y247" s="392"/>
    </row>
    <row r="248" ht="15.75" customHeight="1">
      <c r="W248" s="392"/>
      <c r="X248" s="392"/>
      <c r="Y248" s="392"/>
    </row>
    <row r="249" ht="15.75" customHeight="1">
      <c r="W249" s="392"/>
      <c r="X249" s="392"/>
      <c r="Y249" s="392"/>
    </row>
    <row r="250" ht="15.75" customHeight="1">
      <c r="W250" s="392"/>
      <c r="X250" s="392"/>
      <c r="Y250" s="392"/>
    </row>
    <row r="251" ht="15.75" customHeight="1">
      <c r="W251" s="392"/>
      <c r="X251" s="392"/>
      <c r="Y251" s="392"/>
    </row>
    <row r="252" ht="15.75" customHeight="1">
      <c r="W252" s="392"/>
      <c r="X252" s="392"/>
      <c r="Y252" s="392"/>
    </row>
    <row r="253" ht="15.75" customHeight="1">
      <c r="W253" s="392"/>
      <c r="X253" s="392"/>
      <c r="Y253" s="392"/>
    </row>
    <row r="254" ht="15.75" customHeight="1">
      <c r="W254" s="392"/>
      <c r="X254" s="392"/>
      <c r="Y254" s="392"/>
    </row>
    <row r="255" ht="15.75" customHeight="1">
      <c r="W255" s="392"/>
      <c r="X255" s="392"/>
      <c r="Y255" s="392"/>
    </row>
    <row r="256" ht="15.75" customHeight="1">
      <c r="W256" s="392"/>
      <c r="X256" s="392"/>
      <c r="Y256" s="392"/>
    </row>
    <row r="257" ht="15.75" customHeight="1">
      <c r="W257" s="392"/>
      <c r="X257" s="392"/>
      <c r="Y257" s="392"/>
    </row>
    <row r="258" ht="15.75" customHeight="1">
      <c r="W258" s="392"/>
      <c r="X258" s="392"/>
      <c r="Y258" s="392"/>
    </row>
    <row r="259" ht="15.75" customHeight="1">
      <c r="W259" s="392"/>
      <c r="X259" s="392"/>
      <c r="Y259" s="392"/>
    </row>
    <row r="260" ht="15.75" customHeight="1">
      <c r="W260" s="392"/>
      <c r="X260" s="392"/>
      <c r="Y260" s="392"/>
    </row>
    <row r="261" ht="15.75" customHeight="1">
      <c r="W261" s="392"/>
      <c r="X261" s="392"/>
      <c r="Y261" s="392"/>
    </row>
    <row r="262" ht="15.75" customHeight="1">
      <c r="W262" s="392"/>
      <c r="X262" s="392"/>
      <c r="Y262" s="392"/>
    </row>
    <row r="263" ht="15.75" customHeight="1">
      <c r="W263" s="392"/>
      <c r="X263" s="392"/>
      <c r="Y263" s="392"/>
    </row>
    <row r="264" ht="15.75" customHeight="1">
      <c r="W264" s="392"/>
      <c r="X264" s="392"/>
      <c r="Y264" s="392"/>
    </row>
    <row r="265" ht="15.75" customHeight="1">
      <c r="W265" s="392"/>
      <c r="X265" s="392"/>
      <c r="Y265" s="392"/>
    </row>
    <row r="266" ht="15.75" customHeight="1">
      <c r="W266" s="392"/>
      <c r="X266" s="392"/>
      <c r="Y266" s="392"/>
    </row>
    <row r="267" ht="15.75" customHeight="1">
      <c r="W267" s="392"/>
      <c r="X267" s="392"/>
      <c r="Y267" s="392"/>
    </row>
    <row r="268" ht="15.75" customHeight="1">
      <c r="W268" s="392"/>
      <c r="X268" s="392"/>
      <c r="Y268" s="392"/>
    </row>
    <row r="269" ht="15.75" customHeight="1">
      <c r="W269" s="392"/>
      <c r="X269" s="392"/>
      <c r="Y269" s="392"/>
    </row>
    <row r="270" ht="15.75" customHeight="1">
      <c r="W270" s="392"/>
      <c r="X270" s="392"/>
      <c r="Y270" s="392"/>
    </row>
    <row r="271" ht="15.75" customHeight="1">
      <c r="W271" s="392"/>
      <c r="X271" s="392"/>
      <c r="Y271" s="392"/>
    </row>
    <row r="272" ht="15.75" customHeight="1">
      <c r="W272" s="392"/>
      <c r="X272" s="392"/>
      <c r="Y272" s="392"/>
    </row>
    <row r="273" ht="15.75" customHeight="1">
      <c r="W273" s="392"/>
      <c r="X273" s="392"/>
      <c r="Y273" s="392"/>
    </row>
    <row r="274" ht="15.75" customHeight="1">
      <c r="W274" s="392"/>
      <c r="X274" s="392"/>
      <c r="Y274" s="392"/>
    </row>
    <row r="275" ht="15.75" customHeight="1">
      <c r="W275" s="392"/>
      <c r="X275" s="392"/>
      <c r="Y275" s="392"/>
    </row>
    <row r="276" ht="15.75" customHeight="1">
      <c r="W276" s="392"/>
      <c r="X276" s="392"/>
      <c r="Y276" s="392"/>
    </row>
    <row r="277" ht="15.75" customHeight="1">
      <c r="W277" s="392"/>
      <c r="X277" s="392"/>
      <c r="Y277" s="392"/>
    </row>
    <row r="278" ht="15.75" customHeight="1">
      <c r="W278" s="392"/>
      <c r="X278" s="392"/>
      <c r="Y278" s="392"/>
    </row>
    <row r="279" ht="15.75" customHeight="1">
      <c r="W279" s="392"/>
      <c r="X279" s="392"/>
      <c r="Y279" s="392"/>
    </row>
    <row r="280" ht="15.75" customHeight="1">
      <c r="W280" s="392"/>
      <c r="X280" s="392"/>
      <c r="Y280" s="392"/>
    </row>
    <row r="281" ht="15.75" customHeight="1">
      <c r="W281" s="392"/>
      <c r="X281" s="392"/>
      <c r="Y281" s="392"/>
    </row>
    <row r="282" ht="15.75" customHeight="1">
      <c r="W282" s="392"/>
      <c r="X282" s="392"/>
      <c r="Y282" s="392"/>
    </row>
    <row r="283" ht="15.75" customHeight="1">
      <c r="W283" s="392"/>
      <c r="X283" s="392"/>
      <c r="Y283" s="392"/>
    </row>
    <row r="284" ht="15.75" customHeight="1">
      <c r="W284" s="392"/>
      <c r="X284" s="392"/>
      <c r="Y284" s="392"/>
    </row>
    <row r="285" ht="15.75" customHeight="1">
      <c r="W285" s="392"/>
      <c r="X285" s="392"/>
      <c r="Y285" s="392"/>
    </row>
    <row r="286" ht="15.75" customHeight="1">
      <c r="W286" s="392"/>
      <c r="X286" s="392"/>
      <c r="Y286" s="392"/>
    </row>
    <row r="287" ht="15.75" customHeight="1">
      <c r="W287" s="392"/>
      <c r="X287" s="392"/>
      <c r="Y287" s="392"/>
    </row>
    <row r="288" ht="15.75" customHeight="1">
      <c r="W288" s="392"/>
      <c r="X288" s="392"/>
      <c r="Y288" s="392"/>
    </row>
    <row r="289" ht="15.75" customHeight="1">
      <c r="W289" s="392"/>
      <c r="X289" s="392"/>
      <c r="Y289" s="392"/>
    </row>
    <row r="290" ht="15.75" customHeight="1">
      <c r="W290" s="392"/>
      <c r="X290" s="392"/>
      <c r="Y290" s="392"/>
    </row>
    <row r="291" ht="15.75" customHeight="1">
      <c r="W291" s="392"/>
      <c r="X291" s="392"/>
      <c r="Y291" s="392"/>
    </row>
    <row r="292" ht="15.75" customHeight="1">
      <c r="W292" s="392"/>
      <c r="X292" s="392"/>
      <c r="Y292" s="392"/>
    </row>
    <row r="293" ht="15.75" customHeight="1">
      <c r="W293" s="392"/>
      <c r="X293" s="392"/>
      <c r="Y293" s="392"/>
    </row>
    <row r="294" ht="15.75" customHeight="1">
      <c r="W294" s="392"/>
      <c r="X294" s="392"/>
      <c r="Y294" s="392"/>
    </row>
    <row r="295" ht="15.75" customHeight="1">
      <c r="W295" s="392"/>
      <c r="X295" s="392"/>
      <c r="Y295" s="392"/>
    </row>
    <row r="296" ht="15.75" customHeight="1">
      <c r="W296" s="392"/>
      <c r="X296" s="392"/>
      <c r="Y296" s="392"/>
    </row>
    <row r="297" ht="15.75" customHeight="1">
      <c r="W297" s="392"/>
      <c r="X297" s="392"/>
      <c r="Y297" s="392"/>
    </row>
    <row r="298" ht="15.75" customHeight="1">
      <c r="W298" s="392"/>
      <c r="X298" s="392"/>
      <c r="Y298" s="392"/>
    </row>
    <row r="299" ht="15.75" customHeight="1">
      <c r="W299" s="392"/>
      <c r="X299" s="392"/>
      <c r="Y299" s="392"/>
    </row>
    <row r="300" ht="15.75" customHeight="1">
      <c r="W300" s="392"/>
      <c r="X300" s="392"/>
      <c r="Y300" s="392"/>
    </row>
    <row r="301" ht="15.75" customHeight="1">
      <c r="W301" s="392"/>
      <c r="X301" s="392"/>
      <c r="Y301" s="392"/>
    </row>
    <row r="302" ht="15.75" customHeight="1">
      <c r="W302" s="392"/>
      <c r="X302" s="392"/>
      <c r="Y302" s="392"/>
    </row>
    <row r="303" ht="15.75" customHeight="1">
      <c r="W303" s="392"/>
      <c r="X303" s="392"/>
      <c r="Y303" s="392"/>
    </row>
    <row r="304" ht="15.75" customHeight="1">
      <c r="W304" s="392"/>
      <c r="X304" s="392"/>
      <c r="Y304" s="392"/>
    </row>
    <row r="305" ht="15.75" customHeight="1">
      <c r="W305" s="392"/>
      <c r="X305" s="392"/>
      <c r="Y305" s="392"/>
    </row>
    <row r="306" ht="15.75" customHeight="1">
      <c r="W306" s="392"/>
      <c r="X306" s="392"/>
      <c r="Y306" s="392"/>
    </row>
    <row r="307" ht="15.75" customHeight="1">
      <c r="W307" s="392"/>
      <c r="X307" s="392"/>
      <c r="Y307" s="392"/>
    </row>
    <row r="308" ht="15.75" customHeight="1">
      <c r="W308" s="392"/>
      <c r="X308" s="392"/>
      <c r="Y308" s="392"/>
    </row>
    <row r="309" ht="15.75" customHeight="1">
      <c r="W309" s="392"/>
      <c r="X309" s="392"/>
      <c r="Y309" s="392"/>
    </row>
    <row r="310" ht="15.75" customHeight="1">
      <c r="W310" s="392"/>
      <c r="X310" s="392"/>
      <c r="Y310" s="392"/>
    </row>
    <row r="311" ht="15.75" customHeight="1">
      <c r="W311" s="392"/>
      <c r="X311" s="392"/>
      <c r="Y311" s="392"/>
    </row>
    <row r="312" ht="15.75" customHeight="1">
      <c r="W312" s="392"/>
      <c r="X312" s="392"/>
      <c r="Y312" s="392"/>
    </row>
    <row r="313" ht="15.75" customHeight="1">
      <c r="W313" s="392"/>
      <c r="X313" s="392"/>
      <c r="Y313" s="392"/>
    </row>
    <row r="314" ht="15.75" customHeight="1">
      <c r="W314" s="392"/>
      <c r="X314" s="392"/>
      <c r="Y314" s="392"/>
    </row>
    <row r="315" ht="15.75" customHeight="1">
      <c r="W315" s="392"/>
      <c r="X315" s="392"/>
      <c r="Y315" s="392"/>
    </row>
    <row r="316" ht="15.75" customHeight="1">
      <c r="W316" s="392"/>
      <c r="X316" s="392"/>
      <c r="Y316" s="392"/>
    </row>
    <row r="317" ht="15.75" customHeight="1">
      <c r="W317" s="392"/>
      <c r="X317" s="392"/>
      <c r="Y317" s="392"/>
    </row>
    <row r="318" ht="15.75" customHeight="1">
      <c r="W318" s="392"/>
      <c r="X318" s="392"/>
      <c r="Y318" s="392"/>
    </row>
    <row r="319" ht="15.75" customHeight="1">
      <c r="W319" s="392"/>
      <c r="X319" s="392"/>
      <c r="Y319" s="392"/>
    </row>
    <row r="320" ht="15.75" customHeight="1">
      <c r="W320" s="392"/>
      <c r="X320" s="392"/>
      <c r="Y320" s="392"/>
    </row>
    <row r="321" ht="15.75" customHeight="1">
      <c r="W321" s="392"/>
      <c r="X321" s="392"/>
      <c r="Y321" s="392"/>
    </row>
    <row r="322" ht="15.75" customHeight="1">
      <c r="W322" s="392"/>
      <c r="X322" s="392"/>
      <c r="Y322" s="392"/>
    </row>
    <row r="323" ht="15.75" customHeight="1">
      <c r="W323" s="392"/>
      <c r="X323" s="392"/>
      <c r="Y323" s="392"/>
    </row>
    <row r="324" ht="15.75" customHeight="1">
      <c r="W324" s="392"/>
      <c r="X324" s="392"/>
      <c r="Y324" s="392"/>
    </row>
    <row r="325" ht="15.75" customHeight="1">
      <c r="W325" s="392"/>
      <c r="X325" s="392"/>
      <c r="Y325" s="392"/>
    </row>
    <row r="326" ht="15.75" customHeight="1">
      <c r="W326" s="392"/>
      <c r="X326" s="392"/>
      <c r="Y326" s="392"/>
    </row>
    <row r="327" ht="15.75" customHeight="1">
      <c r="W327" s="392"/>
      <c r="X327" s="392"/>
      <c r="Y327" s="392"/>
    </row>
    <row r="328" ht="15.75" customHeight="1">
      <c r="W328" s="392"/>
      <c r="X328" s="392"/>
      <c r="Y328" s="392"/>
    </row>
    <row r="329" ht="15.75" customHeight="1">
      <c r="W329" s="392"/>
      <c r="X329" s="392"/>
      <c r="Y329" s="392"/>
    </row>
    <row r="330" ht="15.75" customHeight="1">
      <c r="W330" s="392"/>
      <c r="X330" s="392"/>
      <c r="Y330" s="392"/>
    </row>
    <row r="331" ht="15.75" customHeight="1">
      <c r="W331" s="392"/>
      <c r="X331" s="392"/>
      <c r="Y331" s="392"/>
    </row>
    <row r="332" ht="15.75" customHeight="1">
      <c r="W332" s="392"/>
      <c r="X332" s="392"/>
      <c r="Y332" s="392"/>
    </row>
    <row r="333" ht="15.75" customHeight="1">
      <c r="W333" s="392"/>
      <c r="X333" s="392"/>
      <c r="Y333" s="392"/>
    </row>
    <row r="334" ht="15.75" customHeight="1">
      <c r="W334" s="392"/>
      <c r="X334" s="392"/>
      <c r="Y334" s="392"/>
    </row>
    <row r="335" ht="15.75" customHeight="1">
      <c r="W335" s="392"/>
      <c r="X335" s="392"/>
      <c r="Y335" s="392"/>
    </row>
    <row r="336" ht="15.75" customHeight="1">
      <c r="W336" s="392"/>
      <c r="X336" s="392"/>
      <c r="Y336" s="392"/>
    </row>
    <row r="337" ht="15.75" customHeight="1">
      <c r="W337" s="392"/>
      <c r="X337" s="392"/>
      <c r="Y337" s="392"/>
    </row>
    <row r="338" ht="15.75" customHeight="1">
      <c r="W338" s="392"/>
      <c r="X338" s="392"/>
      <c r="Y338" s="392"/>
    </row>
    <row r="339" ht="15.75" customHeight="1">
      <c r="W339" s="392"/>
      <c r="X339" s="392"/>
      <c r="Y339" s="392"/>
    </row>
    <row r="340" ht="15.75" customHeight="1">
      <c r="W340" s="392"/>
      <c r="X340" s="392"/>
      <c r="Y340" s="392"/>
    </row>
    <row r="341" ht="15.75" customHeight="1">
      <c r="W341" s="392"/>
      <c r="X341" s="392"/>
      <c r="Y341" s="392"/>
    </row>
    <row r="342" ht="15.75" customHeight="1">
      <c r="W342" s="392"/>
      <c r="X342" s="392"/>
      <c r="Y342" s="392"/>
    </row>
    <row r="343" ht="15.75" customHeight="1">
      <c r="W343" s="392"/>
      <c r="X343" s="392"/>
      <c r="Y343" s="392"/>
    </row>
    <row r="344" ht="15.75" customHeight="1">
      <c r="W344" s="392"/>
      <c r="X344" s="392"/>
      <c r="Y344" s="392"/>
    </row>
    <row r="345" ht="15.75" customHeight="1">
      <c r="W345" s="392"/>
      <c r="X345" s="392"/>
      <c r="Y345" s="392"/>
    </row>
    <row r="346" ht="15.75" customHeight="1">
      <c r="W346" s="392"/>
      <c r="X346" s="392"/>
      <c r="Y346" s="392"/>
    </row>
    <row r="347" ht="15.75" customHeight="1">
      <c r="W347" s="392"/>
      <c r="X347" s="392"/>
      <c r="Y347" s="392"/>
    </row>
    <row r="348" ht="15.75" customHeight="1">
      <c r="W348" s="392"/>
      <c r="X348" s="392"/>
      <c r="Y348" s="392"/>
    </row>
    <row r="349" ht="15.75" customHeight="1">
      <c r="W349" s="392"/>
      <c r="X349" s="392"/>
      <c r="Y349" s="392"/>
    </row>
    <row r="350" ht="15.75" customHeight="1">
      <c r="W350" s="392"/>
      <c r="X350" s="392"/>
      <c r="Y350" s="392"/>
    </row>
    <row r="351" ht="15.75" customHeight="1">
      <c r="W351" s="392"/>
      <c r="X351" s="392"/>
      <c r="Y351" s="392"/>
    </row>
    <row r="352" ht="15.75" customHeight="1">
      <c r="W352" s="392"/>
      <c r="X352" s="392"/>
      <c r="Y352" s="392"/>
    </row>
    <row r="353" ht="15.75" customHeight="1">
      <c r="W353" s="392"/>
      <c r="X353" s="392"/>
      <c r="Y353" s="392"/>
    </row>
    <row r="354" ht="15.75" customHeight="1">
      <c r="W354" s="392"/>
      <c r="X354" s="392"/>
      <c r="Y354" s="392"/>
    </row>
    <row r="355" ht="15.75" customHeight="1">
      <c r="W355" s="392"/>
      <c r="X355" s="392"/>
      <c r="Y355" s="392"/>
    </row>
    <row r="356" ht="15.75" customHeight="1">
      <c r="W356" s="392"/>
      <c r="X356" s="392"/>
      <c r="Y356" s="392"/>
    </row>
    <row r="357" ht="15.75" customHeight="1">
      <c r="W357" s="392"/>
      <c r="X357" s="392"/>
      <c r="Y357" s="392"/>
    </row>
    <row r="358" ht="15.75" customHeight="1">
      <c r="W358" s="392"/>
      <c r="X358" s="392"/>
      <c r="Y358" s="392"/>
    </row>
    <row r="359" ht="15.75" customHeight="1">
      <c r="W359" s="392"/>
      <c r="X359" s="392"/>
      <c r="Y359" s="392"/>
    </row>
    <row r="360" ht="15.75" customHeight="1">
      <c r="W360" s="392"/>
      <c r="X360" s="392"/>
      <c r="Y360" s="392"/>
    </row>
    <row r="361" ht="15.75" customHeight="1">
      <c r="W361" s="392"/>
      <c r="X361" s="392"/>
      <c r="Y361" s="392"/>
    </row>
    <row r="362" ht="15.75" customHeight="1">
      <c r="W362" s="392"/>
      <c r="X362" s="392"/>
      <c r="Y362" s="392"/>
    </row>
    <row r="363" ht="15.75" customHeight="1">
      <c r="W363" s="392"/>
      <c r="X363" s="392"/>
      <c r="Y363" s="392"/>
    </row>
    <row r="364" ht="15.75" customHeight="1">
      <c r="W364" s="392"/>
      <c r="X364" s="392"/>
      <c r="Y364" s="392"/>
    </row>
    <row r="365" ht="15.75" customHeight="1">
      <c r="W365" s="392"/>
      <c r="X365" s="392"/>
      <c r="Y365" s="392"/>
    </row>
    <row r="366" ht="15.75" customHeight="1">
      <c r="W366" s="392"/>
      <c r="X366" s="392"/>
      <c r="Y366" s="392"/>
    </row>
    <row r="367" ht="15.75" customHeight="1">
      <c r="W367" s="392"/>
      <c r="X367" s="392"/>
      <c r="Y367" s="392"/>
    </row>
    <row r="368" ht="15.75" customHeight="1">
      <c r="W368" s="392"/>
      <c r="X368" s="392"/>
      <c r="Y368" s="392"/>
    </row>
    <row r="369" ht="15.75" customHeight="1">
      <c r="W369" s="392"/>
      <c r="X369" s="392"/>
      <c r="Y369" s="392"/>
    </row>
    <row r="370" ht="15.75" customHeight="1">
      <c r="W370" s="392"/>
      <c r="X370" s="392"/>
      <c r="Y370" s="392"/>
    </row>
    <row r="371" ht="15.75" customHeight="1">
      <c r="W371" s="392"/>
      <c r="X371" s="392"/>
      <c r="Y371" s="392"/>
    </row>
    <row r="372" ht="15.75" customHeight="1">
      <c r="W372" s="392"/>
      <c r="X372" s="392"/>
      <c r="Y372" s="392"/>
    </row>
    <row r="373" ht="15.75" customHeight="1">
      <c r="W373" s="392"/>
      <c r="X373" s="392"/>
      <c r="Y373" s="392"/>
    </row>
    <row r="374" ht="15.75" customHeight="1">
      <c r="W374" s="392"/>
      <c r="X374" s="392"/>
      <c r="Y374" s="392"/>
    </row>
    <row r="375" ht="15.75" customHeight="1">
      <c r="W375" s="392"/>
      <c r="X375" s="392"/>
      <c r="Y375" s="392"/>
    </row>
    <row r="376" ht="15.75" customHeight="1">
      <c r="W376" s="392"/>
      <c r="X376" s="392"/>
      <c r="Y376" s="392"/>
    </row>
    <row r="377" ht="15.75" customHeight="1">
      <c r="W377" s="392"/>
      <c r="X377" s="392"/>
      <c r="Y377" s="392"/>
    </row>
    <row r="378" ht="15.75" customHeight="1">
      <c r="W378" s="392"/>
      <c r="X378" s="392"/>
      <c r="Y378" s="392"/>
    </row>
    <row r="379" ht="15.75" customHeight="1">
      <c r="W379" s="392"/>
      <c r="X379" s="392"/>
      <c r="Y379" s="392"/>
    </row>
    <row r="380" ht="15.75" customHeight="1">
      <c r="W380" s="392"/>
      <c r="X380" s="392"/>
      <c r="Y380" s="392"/>
    </row>
    <row r="381" ht="15.75" customHeight="1">
      <c r="W381" s="392"/>
      <c r="X381" s="392"/>
      <c r="Y381" s="392"/>
    </row>
    <row r="382" ht="15.75" customHeight="1">
      <c r="W382" s="392"/>
      <c r="X382" s="392"/>
      <c r="Y382" s="392"/>
    </row>
    <row r="383" ht="15.75" customHeight="1">
      <c r="W383" s="392"/>
      <c r="X383" s="392"/>
      <c r="Y383" s="392"/>
    </row>
    <row r="384" ht="15.75" customHeight="1">
      <c r="W384" s="392"/>
      <c r="X384" s="392"/>
      <c r="Y384" s="392"/>
    </row>
    <row r="385" ht="15.75" customHeight="1">
      <c r="W385" s="392"/>
      <c r="X385" s="392"/>
      <c r="Y385" s="392"/>
    </row>
    <row r="386" ht="15.75" customHeight="1">
      <c r="W386" s="392"/>
      <c r="X386" s="392"/>
      <c r="Y386" s="392"/>
    </row>
    <row r="387" ht="15.75" customHeight="1">
      <c r="W387" s="392"/>
      <c r="X387" s="392"/>
      <c r="Y387" s="392"/>
    </row>
    <row r="388" ht="15.75" customHeight="1">
      <c r="W388" s="392"/>
      <c r="X388" s="392"/>
      <c r="Y388" s="392"/>
    </row>
    <row r="389" ht="15.75" customHeight="1">
      <c r="W389" s="392"/>
      <c r="X389" s="392"/>
      <c r="Y389" s="392"/>
    </row>
    <row r="390" ht="15.75" customHeight="1">
      <c r="W390" s="392"/>
      <c r="X390" s="392"/>
      <c r="Y390" s="392"/>
    </row>
    <row r="391" ht="15.75" customHeight="1">
      <c r="W391" s="392"/>
      <c r="X391" s="392"/>
      <c r="Y391" s="392"/>
    </row>
    <row r="392" ht="15.75" customHeight="1">
      <c r="W392" s="392"/>
      <c r="X392" s="392"/>
      <c r="Y392" s="392"/>
    </row>
    <row r="393" ht="15.75" customHeight="1">
      <c r="W393" s="392"/>
      <c r="X393" s="392"/>
      <c r="Y393" s="392"/>
    </row>
    <row r="394" ht="15.75" customHeight="1">
      <c r="W394" s="392"/>
      <c r="X394" s="392"/>
      <c r="Y394" s="392"/>
    </row>
    <row r="395" ht="15.75" customHeight="1">
      <c r="W395" s="392"/>
      <c r="X395" s="392"/>
      <c r="Y395" s="392"/>
    </row>
    <row r="396" ht="15.75" customHeight="1">
      <c r="W396" s="392"/>
      <c r="X396" s="392"/>
      <c r="Y396" s="392"/>
    </row>
    <row r="397" ht="15.75" customHeight="1">
      <c r="W397" s="392"/>
      <c r="X397" s="392"/>
      <c r="Y397" s="392"/>
    </row>
    <row r="398" ht="15.75" customHeight="1">
      <c r="W398" s="392"/>
      <c r="X398" s="392"/>
      <c r="Y398" s="392"/>
    </row>
    <row r="399" ht="15.75" customHeight="1">
      <c r="W399" s="392"/>
      <c r="X399" s="392"/>
      <c r="Y399" s="392"/>
    </row>
    <row r="400" ht="15.75" customHeight="1">
      <c r="W400" s="392"/>
      <c r="X400" s="392"/>
      <c r="Y400" s="392"/>
    </row>
    <row r="401" ht="15.75" customHeight="1">
      <c r="W401" s="392"/>
      <c r="X401" s="392"/>
      <c r="Y401" s="392"/>
    </row>
    <row r="402" ht="15.75" customHeight="1">
      <c r="W402" s="392"/>
      <c r="X402" s="392"/>
      <c r="Y402" s="392"/>
    </row>
    <row r="403" ht="15.75" customHeight="1">
      <c r="W403" s="392"/>
      <c r="X403" s="392"/>
      <c r="Y403" s="392"/>
    </row>
    <row r="404" ht="15.75" customHeight="1">
      <c r="W404" s="392"/>
      <c r="X404" s="392"/>
      <c r="Y404" s="392"/>
    </row>
    <row r="405" ht="15.75" customHeight="1">
      <c r="W405" s="392"/>
      <c r="X405" s="392"/>
      <c r="Y405" s="392"/>
    </row>
    <row r="406" ht="15.75" customHeight="1">
      <c r="W406" s="392"/>
      <c r="X406" s="392"/>
      <c r="Y406" s="392"/>
    </row>
    <row r="407" ht="15.75" customHeight="1">
      <c r="W407" s="392"/>
      <c r="X407" s="392"/>
      <c r="Y407" s="392"/>
    </row>
    <row r="408" ht="15.75" customHeight="1">
      <c r="W408" s="392"/>
      <c r="X408" s="392"/>
      <c r="Y408" s="392"/>
    </row>
    <row r="409" ht="15.75" customHeight="1">
      <c r="W409" s="392"/>
      <c r="X409" s="392"/>
      <c r="Y409" s="392"/>
    </row>
    <row r="410" ht="15.75" customHeight="1">
      <c r="W410" s="392"/>
      <c r="X410" s="392"/>
      <c r="Y410" s="392"/>
    </row>
    <row r="411" ht="15.75" customHeight="1">
      <c r="W411" s="392"/>
      <c r="X411" s="392"/>
      <c r="Y411" s="392"/>
    </row>
    <row r="412" ht="15.75" customHeight="1">
      <c r="W412" s="392"/>
      <c r="X412" s="392"/>
      <c r="Y412" s="392"/>
    </row>
    <row r="413" ht="15.75" customHeight="1">
      <c r="W413" s="392"/>
      <c r="X413" s="392"/>
      <c r="Y413" s="392"/>
    </row>
    <row r="414" ht="15.75" customHeight="1">
      <c r="W414" s="392"/>
      <c r="X414" s="392"/>
      <c r="Y414" s="392"/>
    </row>
    <row r="415" ht="15.75" customHeight="1">
      <c r="W415" s="392"/>
      <c r="X415" s="392"/>
      <c r="Y415" s="392"/>
    </row>
    <row r="416" ht="15.75" customHeight="1">
      <c r="W416" s="392"/>
      <c r="X416" s="392"/>
      <c r="Y416" s="392"/>
    </row>
    <row r="417" ht="15.75" customHeight="1">
      <c r="W417" s="392"/>
      <c r="X417" s="392"/>
      <c r="Y417" s="392"/>
    </row>
    <row r="418" ht="15.75" customHeight="1">
      <c r="W418" s="392"/>
      <c r="X418" s="392"/>
      <c r="Y418" s="392"/>
    </row>
    <row r="419" ht="15.75" customHeight="1">
      <c r="W419" s="392"/>
      <c r="X419" s="392"/>
      <c r="Y419" s="392"/>
    </row>
    <row r="420" ht="15.75" customHeight="1">
      <c r="W420" s="392"/>
      <c r="X420" s="392"/>
      <c r="Y420" s="392"/>
    </row>
    <row r="421" ht="15.75" customHeight="1">
      <c r="W421" s="392"/>
      <c r="X421" s="392"/>
      <c r="Y421" s="392"/>
    </row>
    <row r="422" ht="15.75" customHeight="1">
      <c r="W422" s="392"/>
      <c r="X422" s="392"/>
      <c r="Y422" s="392"/>
    </row>
    <row r="423" ht="15.75" customHeight="1">
      <c r="W423" s="392"/>
      <c r="X423" s="392"/>
      <c r="Y423" s="392"/>
    </row>
    <row r="424" ht="15.75" customHeight="1">
      <c r="W424" s="392"/>
      <c r="X424" s="392"/>
      <c r="Y424" s="392"/>
    </row>
    <row r="425" ht="15.75" customHeight="1">
      <c r="W425" s="392"/>
      <c r="X425" s="392"/>
      <c r="Y425" s="392"/>
    </row>
    <row r="426" ht="15.75" customHeight="1">
      <c r="W426" s="392"/>
      <c r="X426" s="392"/>
      <c r="Y426" s="392"/>
    </row>
    <row r="427" ht="15.75" customHeight="1">
      <c r="W427" s="392"/>
      <c r="X427" s="392"/>
      <c r="Y427" s="392"/>
    </row>
    <row r="428" ht="15.75" customHeight="1">
      <c r="W428" s="392"/>
      <c r="X428" s="392"/>
      <c r="Y428" s="392"/>
    </row>
    <row r="429" ht="15.75" customHeight="1">
      <c r="W429" s="392"/>
      <c r="X429" s="392"/>
      <c r="Y429" s="392"/>
    </row>
    <row r="430" ht="15.75" customHeight="1">
      <c r="W430" s="392"/>
      <c r="X430" s="392"/>
      <c r="Y430" s="392"/>
    </row>
    <row r="431" ht="15.75" customHeight="1">
      <c r="W431" s="392"/>
      <c r="X431" s="392"/>
      <c r="Y431" s="392"/>
    </row>
    <row r="432" ht="15.75" customHeight="1">
      <c r="W432" s="392"/>
      <c r="X432" s="392"/>
      <c r="Y432" s="392"/>
    </row>
    <row r="433" ht="15.75" customHeight="1">
      <c r="W433" s="392"/>
      <c r="X433" s="392"/>
      <c r="Y433" s="392"/>
    </row>
    <row r="434" ht="15.75" customHeight="1">
      <c r="W434" s="392"/>
      <c r="X434" s="392"/>
      <c r="Y434" s="392"/>
    </row>
    <row r="435" ht="15.75" customHeight="1">
      <c r="W435" s="392"/>
      <c r="X435" s="392"/>
      <c r="Y435" s="392"/>
    </row>
    <row r="436" ht="15.75" customHeight="1">
      <c r="W436" s="392"/>
      <c r="X436" s="392"/>
      <c r="Y436" s="392"/>
    </row>
    <row r="437" ht="15.75" customHeight="1">
      <c r="W437" s="392"/>
      <c r="X437" s="392"/>
      <c r="Y437" s="392"/>
    </row>
    <row r="438" ht="15.75" customHeight="1">
      <c r="W438" s="392"/>
      <c r="X438" s="392"/>
      <c r="Y438" s="392"/>
    </row>
    <row r="439" ht="15.75" customHeight="1">
      <c r="W439" s="392"/>
      <c r="X439" s="392"/>
      <c r="Y439" s="392"/>
    </row>
    <row r="440" ht="15.75" customHeight="1">
      <c r="W440" s="392"/>
      <c r="X440" s="392"/>
      <c r="Y440" s="392"/>
    </row>
    <row r="441" ht="15.75" customHeight="1">
      <c r="W441" s="392"/>
      <c r="X441" s="392"/>
      <c r="Y441" s="392"/>
    </row>
    <row r="442" ht="15.75" customHeight="1">
      <c r="W442" s="392"/>
      <c r="X442" s="392"/>
      <c r="Y442" s="392"/>
    </row>
    <row r="443" ht="15.75" customHeight="1">
      <c r="W443" s="392"/>
      <c r="X443" s="392"/>
      <c r="Y443" s="392"/>
    </row>
    <row r="444" ht="15.75" customHeight="1">
      <c r="W444" s="392"/>
      <c r="X444" s="392"/>
      <c r="Y444" s="392"/>
    </row>
    <row r="445" ht="15.75" customHeight="1">
      <c r="W445" s="392"/>
      <c r="X445" s="392"/>
      <c r="Y445" s="392"/>
    </row>
    <row r="446" ht="15.75" customHeight="1">
      <c r="W446" s="392"/>
      <c r="X446" s="392"/>
      <c r="Y446" s="392"/>
    </row>
    <row r="447" ht="15.75" customHeight="1">
      <c r="W447" s="392"/>
      <c r="X447" s="392"/>
      <c r="Y447" s="392"/>
    </row>
    <row r="448" ht="15.75" customHeight="1">
      <c r="W448" s="392"/>
      <c r="X448" s="392"/>
      <c r="Y448" s="392"/>
    </row>
    <row r="449" ht="15.75" customHeight="1">
      <c r="W449" s="392"/>
      <c r="X449" s="392"/>
      <c r="Y449" s="392"/>
    </row>
    <row r="450" ht="15.75" customHeight="1">
      <c r="W450" s="392"/>
      <c r="X450" s="392"/>
      <c r="Y450" s="392"/>
    </row>
    <row r="451" ht="15.75" customHeight="1">
      <c r="W451" s="392"/>
      <c r="X451" s="392"/>
      <c r="Y451" s="392"/>
    </row>
    <row r="452" ht="15.75" customHeight="1">
      <c r="W452" s="392"/>
      <c r="X452" s="392"/>
      <c r="Y452" s="392"/>
    </row>
    <row r="453" ht="15.75" customHeight="1">
      <c r="W453" s="392"/>
      <c r="X453" s="392"/>
      <c r="Y453" s="392"/>
    </row>
    <row r="454" ht="15.75" customHeight="1">
      <c r="W454" s="392"/>
      <c r="X454" s="392"/>
      <c r="Y454" s="392"/>
    </row>
    <row r="455" ht="15.75" customHeight="1">
      <c r="W455" s="392"/>
      <c r="X455" s="392"/>
      <c r="Y455" s="392"/>
    </row>
    <row r="456" ht="15.75" customHeight="1">
      <c r="W456" s="392"/>
      <c r="X456" s="392"/>
      <c r="Y456" s="392"/>
    </row>
    <row r="457" ht="15.75" customHeight="1">
      <c r="W457" s="392"/>
      <c r="X457" s="392"/>
      <c r="Y457" s="392"/>
    </row>
    <row r="458" ht="15.75" customHeight="1">
      <c r="W458" s="392"/>
      <c r="X458" s="392"/>
      <c r="Y458" s="392"/>
    </row>
    <row r="459" ht="15.75" customHeight="1">
      <c r="W459" s="392"/>
      <c r="X459" s="392"/>
      <c r="Y459" s="392"/>
    </row>
    <row r="460" ht="15.75" customHeight="1">
      <c r="W460" s="392"/>
      <c r="X460" s="392"/>
      <c r="Y460" s="392"/>
    </row>
    <row r="461" ht="15.75" customHeight="1">
      <c r="W461" s="392"/>
      <c r="X461" s="392"/>
      <c r="Y461" s="392"/>
    </row>
    <row r="462" ht="15.75" customHeight="1">
      <c r="W462" s="392"/>
      <c r="X462" s="392"/>
      <c r="Y462" s="392"/>
    </row>
    <row r="463" ht="15.75" customHeight="1">
      <c r="W463" s="392"/>
      <c r="X463" s="392"/>
      <c r="Y463" s="392"/>
    </row>
    <row r="464" ht="15.75" customHeight="1">
      <c r="W464" s="392"/>
      <c r="X464" s="392"/>
      <c r="Y464" s="392"/>
    </row>
    <row r="465" ht="15.75" customHeight="1">
      <c r="W465" s="392"/>
      <c r="X465" s="392"/>
      <c r="Y465" s="392"/>
    </row>
    <row r="466" ht="15.75" customHeight="1">
      <c r="W466" s="392"/>
      <c r="X466" s="392"/>
      <c r="Y466" s="392"/>
    </row>
    <row r="467" ht="15.75" customHeight="1">
      <c r="W467" s="392"/>
      <c r="X467" s="392"/>
      <c r="Y467" s="392"/>
    </row>
    <row r="468" ht="15.75" customHeight="1">
      <c r="W468" s="392"/>
      <c r="X468" s="392"/>
      <c r="Y468" s="392"/>
    </row>
    <row r="469" ht="15.75" customHeight="1">
      <c r="W469" s="392"/>
      <c r="X469" s="392"/>
      <c r="Y469" s="392"/>
    </row>
    <row r="470" ht="15.75" customHeight="1">
      <c r="W470" s="392"/>
      <c r="X470" s="392"/>
      <c r="Y470" s="392"/>
    </row>
    <row r="471" ht="15.75" customHeight="1">
      <c r="W471" s="392"/>
      <c r="X471" s="392"/>
      <c r="Y471" s="392"/>
    </row>
    <row r="472" ht="15.75" customHeight="1">
      <c r="W472" s="392"/>
      <c r="X472" s="392"/>
      <c r="Y472" s="392"/>
    </row>
    <row r="473" ht="15.75" customHeight="1">
      <c r="W473" s="392"/>
      <c r="X473" s="392"/>
      <c r="Y473" s="392"/>
    </row>
    <row r="474" ht="15.75" customHeight="1">
      <c r="W474" s="392"/>
      <c r="X474" s="392"/>
      <c r="Y474" s="392"/>
    </row>
    <row r="475" ht="15.75" customHeight="1">
      <c r="W475" s="392"/>
      <c r="X475" s="392"/>
      <c r="Y475" s="392"/>
    </row>
    <row r="476" ht="15.75" customHeight="1">
      <c r="W476" s="392"/>
      <c r="X476" s="392"/>
      <c r="Y476" s="392"/>
    </row>
    <row r="477" ht="15.75" customHeight="1">
      <c r="W477" s="392"/>
      <c r="X477" s="392"/>
      <c r="Y477" s="392"/>
    </row>
    <row r="478" ht="15.75" customHeight="1">
      <c r="W478" s="392"/>
      <c r="X478" s="392"/>
      <c r="Y478" s="392"/>
    </row>
    <row r="479" ht="15.75" customHeight="1">
      <c r="W479" s="392"/>
      <c r="X479" s="392"/>
      <c r="Y479" s="392"/>
    </row>
    <row r="480" ht="15.75" customHeight="1">
      <c r="W480" s="392"/>
      <c r="X480" s="392"/>
      <c r="Y480" s="392"/>
    </row>
    <row r="481" ht="15.75" customHeight="1">
      <c r="W481" s="392"/>
      <c r="X481" s="392"/>
      <c r="Y481" s="392"/>
    </row>
    <row r="482" ht="15.75" customHeight="1">
      <c r="W482" s="392"/>
      <c r="X482" s="392"/>
      <c r="Y482" s="392"/>
    </row>
    <row r="483" ht="15.75" customHeight="1">
      <c r="W483" s="392"/>
      <c r="X483" s="392"/>
      <c r="Y483" s="392"/>
    </row>
    <row r="484" ht="15.75" customHeight="1">
      <c r="W484" s="392"/>
      <c r="X484" s="392"/>
      <c r="Y484" s="392"/>
    </row>
    <row r="485" ht="15.75" customHeight="1">
      <c r="W485" s="392"/>
      <c r="X485" s="392"/>
      <c r="Y485" s="392"/>
    </row>
    <row r="486" ht="15.75" customHeight="1">
      <c r="W486" s="392"/>
      <c r="X486" s="392"/>
      <c r="Y486" s="392"/>
    </row>
    <row r="487" ht="15.75" customHeight="1">
      <c r="W487" s="392"/>
      <c r="X487" s="392"/>
      <c r="Y487" s="392"/>
    </row>
    <row r="488" ht="15.75" customHeight="1">
      <c r="W488" s="392"/>
      <c r="X488" s="392"/>
      <c r="Y488" s="392"/>
    </row>
    <row r="489" ht="15.75" customHeight="1">
      <c r="W489" s="392"/>
      <c r="X489" s="392"/>
      <c r="Y489" s="392"/>
    </row>
    <row r="490" ht="15.75" customHeight="1">
      <c r="W490" s="392"/>
      <c r="X490" s="392"/>
      <c r="Y490" s="392"/>
    </row>
    <row r="491" ht="15.75" customHeight="1">
      <c r="W491" s="392"/>
      <c r="X491" s="392"/>
      <c r="Y491" s="392"/>
    </row>
    <row r="492" ht="15.75" customHeight="1">
      <c r="W492" s="392"/>
      <c r="X492" s="392"/>
      <c r="Y492" s="392"/>
    </row>
    <row r="493" ht="15.75" customHeight="1">
      <c r="W493" s="392"/>
      <c r="X493" s="392"/>
      <c r="Y493" s="392"/>
    </row>
    <row r="494" ht="15.75" customHeight="1">
      <c r="W494" s="392"/>
      <c r="X494" s="392"/>
      <c r="Y494" s="392"/>
    </row>
    <row r="495" ht="15.75" customHeight="1">
      <c r="W495" s="392"/>
      <c r="X495" s="392"/>
      <c r="Y495" s="392"/>
    </row>
    <row r="496" ht="15.75" customHeight="1">
      <c r="W496" s="392"/>
      <c r="X496" s="392"/>
      <c r="Y496" s="392"/>
    </row>
    <row r="497" ht="15.75" customHeight="1">
      <c r="W497" s="392"/>
      <c r="X497" s="392"/>
      <c r="Y497" s="392"/>
    </row>
    <row r="498" ht="15.75" customHeight="1">
      <c r="W498" s="392"/>
      <c r="X498" s="392"/>
      <c r="Y498" s="392"/>
    </row>
    <row r="499" ht="15.75" customHeight="1">
      <c r="W499" s="392"/>
      <c r="X499" s="392"/>
      <c r="Y499" s="392"/>
    </row>
    <row r="500" ht="15.75" customHeight="1">
      <c r="W500" s="392"/>
      <c r="X500" s="392"/>
      <c r="Y500" s="392"/>
    </row>
    <row r="501" ht="15.75" customHeight="1">
      <c r="W501" s="392"/>
      <c r="X501" s="392"/>
      <c r="Y501" s="392"/>
    </row>
    <row r="502" ht="15.75" customHeight="1">
      <c r="W502" s="392"/>
      <c r="X502" s="392"/>
      <c r="Y502" s="392"/>
    </row>
    <row r="503" ht="15.75" customHeight="1">
      <c r="W503" s="392"/>
      <c r="X503" s="392"/>
      <c r="Y503" s="392"/>
    </row>
    <row r="504" ht="15.75" customHeight="1">
      <c r="W504" s="392"/>
      <c r="X504" s="392"/>
      <c r="Y504" s="392"/>
    </row>
    <row r="505" ht="15.75" customHeight="1">
      <c r="W505" s="392"/>
      <c r="X505" s="392"/>
      <c r="Y505" s="392"/>
    </row>
    <row r="506" ht="15.75" customHeight="1">
      <c r="W506" s="392"/>
      <c r="X506" s="392"/>
      <c r="Y506" s="392"/>
    </row>
    <row r="507" ht="15.75" customHeight="1">
      <c r="W507" s="392"/>
      <c r="X507" s="392"/>
      <c r="Y507" s="392"/>
    </row>
    <row r="508" ht="15.75" customHeight="1">
      <c r="W508" s="392"/>
      <c r="X508" s="392"/>
      <c r="Y508" s="392"/>
    </row>
    <row r="509" ht="15.75" customHeight="1">
      <c r="W509" s="392"/>
      <c r="X509" s="392"/>
      <c r="Y509" s="392"/>
    </row>
    <row r="510" ht="15.75" customHeight="1">
      <c r="W510" s="392"/>
      <c r="X510" s="392"/>
      <c r="Y510" s="392"/>
    </row>
    <row r="511" ht="15.75" customHeight="1">
      <c r="W511" s="392"/>
      <c r="X511" s="392"/>
      <c r="Y511" s="392"/>
    </row>
    <row r="512" ht="15.75" customHeight="1">
      <c r="W512" s="392"/>
      <c r="X512" s="392"/>
      <c r="Y512" s="392"/>
    </row>
    <row r="513" ht="15.75" customHeight="1">
      <c r="W513" s="392"/>
      <c r="X513" s="392"/>
      <c r="Y513" s="392"/>
    </row>
    <row r="514" ht="15.75" customHeight="1">
      <c r="W514" s="392"/>
      <c r="X514" s="392"/>
      <c r="Y514" s="392"/>
    </row>
    <row r="515" ht="15.75" customHeight="1">
      <c r="W515" s="392"/>
      <c r="X515" s="392"/>
      <c r="Y515" s="392"/>
    </row>
    <row r="516" ht="15.75" customHeight="1">
      <c r="W516" s="392"/>
      <c r="X516" s="392"/>
      <c r="Y516" s="392"/>
    </row>
    <row r="517" ht="15.75" customHeight="1">
      <c r="W517" s="392"/>
      <c r="X517" s="392"/>
      <c r="Y517" s="392"/>
    </row>
    <row r="518" ht="15.75" customHeight="1">
      <c r="W518" s="392"/>
      <c r="X518" s="392"/>
      <c r="Y518" s="392"/>
    </row>
    <row r="519" ht="15.75" customHeight="1">
      <c r="W519" s="392"/>
      <c r="X519" s="392"/>
      <c r="Y519" s="392"/>
    </row>
    <row r="520" ht="15.75" customHeight="1">
      <c r="W520" s="392"/>
      <c r="X520" s="392"/>
      <c r="Y520" s="392"/>
    </row>
    <row r="521" ht="15.75" customHeight="1">
      <c r="W521" s="392"/>
      <c r="X521" s="392"/>
      <c r="Y521" s="392"/>
    </row>
    <row r="522" ht="15.75" customHeight="1">
      <c r="W522" s="392"/>
      <c r="X522" s="392"/>
      <c r="Y522" s="392"/>
    </row>
    <row r="523" ht="15.75" customHeight="1">
      <c r="W523" s="392"/>
      <c r="X523" s="392"/>
      <c r="Y523" s="392"/>
    </row>
    <row r="524" ht="15.75" customHeight="1">
      <c r="W524" s="392"/>
      <c r="X524" s="392"/>
      <c r="Y524" s="392"/>
    </row>
    <row r="525" ht="15.75" customHeight="1">
      <c r="W525" s="392"/>
      <c r="X525" s="392"/>
      <c r="Y525" s="392"/>
    </row>
    <row r="526" ht="15.75" customHeight="1">
      <c r="W526" s="392"/>
      <c r="X526" s="392"/>
      <c r="Y526" s="392"/>
    </row>
    <row r="527" ht="15.75" customHeight="1">
      <c r="W527" s="392"/>
      <c r="X527" s="392"/>
      <c r="Y527" s="392"/>
    </row>
    <row r="528" ht="15.75" customHeight="1">
      <c r="W528" s="392"/>
      <c r="X528" s="392"/>
      <c r="Y528" s="392"/>
    </row>
    <row r="529" ht="15.75" customHeight="1">
      <c r="W529" s="392"/>
      <c r="X529" s="392"/>
      <c r="Y529" s="392"/>
    </row>
    <row r="530" ht="15.75" customHeight="1">
      <c r="W530" s="392"/>
      <c r="X530" s="392"/>
      <c r="Y530" s="392"/>
    </row>
    <row r="531" ht="15.75" customHeight="1">
      <c r="W531" s="392"/>
      <c r="X531" s="392"/>
      <c r="Y531" s="392"/>
    </row>
    <row r="532" ht="15.75" customHeight="1">
      <c r="W532" s="392"/>
      <c r="X532" s="392"/>
      <c r="Y532" s="392"/>
    </row>
    <row r="533" ht="15.75" customHeight="1">
      <c r="W533" s="392"/>
      <c r="X533" s="392"/>
      <c r="Y533" s="392"/>
    </row>
    <row r="534" ht="15.75" customHeight="1">
      <c r="W534" s="392"/>
      <c r="X534" s="392"/>
      <c r="Y534" s="392"/>
    </row>
    <row r="535" ht="15.75" customHeight="1">
      <c r="W535" s="392"/>
      <c r="X535" s="392"/>
      <c r="Y535" s="392"/>
    </row>
    <row r="536" ht="15.75" customHeight="1">
      <c r="W536" s="392"/>
      <c r="X536" s="392"/>
      <c r="Y536" s="392"/>
    </row>
    <row r="537" ht="15.75" customHeight="1">
      <c r="W537" s="392"/>
      <c r="X537" s="392"/>
      <c r="Y537" s="392"/>
    </row>
    <row r="538" ht="15.75" customHeight="1">
      <c r="W538" s="392"/>
      <c r="X538" s="392"/>
      <c r="Y538" s="392"/>
    </row>
    <row r="539" ht="15.75" customHeight="1">
      <c r="W539" s="392"/>
      <c r="X539" s="392"/>
      <c r="Y539" s="392"/>
    </row>
    <row r="540" ht="15.75" customHeight="1">
      <c r="W540" s="392"/>
      <c r="X540" s="392"/>
      <c r="Y540" s="392"/>
    </row>
    <row r="541" ht="15.75" customHeight="1">
      <c r="W541" s="392"/>
      <c r="X541" s="392"/>
      <c r="Y541" s="392"/>
    </row>
    <row r="542" ht="15.75" customHeight="1">
      <c r="W542" s="392"/>
      <c r="X542" s="392"/>
      <c r="Y542" s="392"/>
    </row>
    <row r="543" ht="15.75" customHeight="1">
      <c r="W543" s="392"/>
      <c r="X543" s="392"/>
      <c r="Y543" s="392"/>
    </row>
    <row r="544" ht="15.75" customHeight="1">
      <c r="W544" s="392"/>
      <c r="X544" s="392"/>
      <c r="Y544" s="392"/>
    </row>
    <row r="545" ht="15.75" customHeight="1">
      <c r="W545" s="392"/>
      <c r="X545" s="392"/>
      <c r="Y545" s="392"/>
    </row>
    <row r="546" ht="15.75" customHeight="1">
      <c r="W546" s="392"/>
      <c r="X546" s="392"/>
      <c r="Y546" s="392"/>
    </row>
    <row r="547" ht="15.75" customHeight="1">
      <c r="W547" s="392"/>
      <c r="X547" s="392"/>
      <c r="Y547" s="392"/>
    </row>
    <row r="548" ht="15.75" customHeight="1">
      <c r="W548" s="392"/>
      <c r="X548" s="392"/>
      <c r="Y548" s="392"/>
    </row>
    <row r="549" ht="15.75" customHeight="1">
      <c r="W549" s="392"/>
      <c r="X549" s="392"/>
      <c r="Y549" s="392"/>
    </row>
    <row r="550" ht="15.75" customHeight="1">
      <c r="W550" s="392"/>
      <c r="X550" s="392"/>
      <c r="Y550" s="392"/>
    </row>
    <row r="551" ht="15.75" customHeight="1">
      <c r="W551" s="392"/>
      <c r="X551" s="392"/>
      <c r="Y551" s="392"/>
    </row>
    <row r="552" ht="15.75" customHeight="1">
      <c r="W552" s="392"/>
      <c r="X552" s="392"/>
      <c r="Y552" s="392"/>
    </row>
    <row r="553" ht="15.75" customHeight="1">
      <c r="W553" s="392"/>
      <c r="X553" s="392"/>
      <c r="Y553" s="392"/>
    </row>
    <row r="554" ht="15.75" customHeight="1">
      <c r="W554" s="392"/>
      <c r="X554" s="392"/>
      <c r="Y554" s="392"/>
    </row>
    <row r="555" ht="15.75" customHeight="1">
      <c r="W555" s="392"/>
      <c r="X555" s="392"/>
      <c r="Y555" s="392"/>
    </row>
    <row r="556" ht="15.75" customHeight="1">
      <c r="W556" s="392"/>
      <c r="X556" s="392"/>
      <c r="Y556" s="392"/>
    </row>
    <row r="557" ht="15.75" customHeight="1">
      <c r="W557" s="392"/>
      <c r="X557" s="392"/>
      <c r="Y557" s="392"/>
    </row>
    <row r="558" ht="15.75" customHeight="1">
      <c r="W558" s="392"/>
      <c r="X558" s="392"/>
      <c r="Y558" s="392"/>
    </row>
    <row r="559" ht="15.75" customHeight="1">
      <c r="W559" s="392"/>
      <c r="X559" s="392"/>
      <c r="Y559" s="392"/>
    </row>
    <row r="560" ht="15.75" customHeight="1">
      <c r="W560" s="392"/>
      <c r="X560" s="392"/>
      <c r="Y560" s="392"/>
    </row>
    <row r="561" ht="15.75" customHeight="1">
      <c r="W561" s="392"/>
      <c r="X561" s="392"/>
      <c r="Y561" s="392"/>
    </row>
    <row r="562" ht="15.75" customHeight="1">
      <c r="W562" s="392"/>
      <c r="X562" s="392"/>
      <c r="Y562" s="392"/>
    </row>
    <row r="563" ht="15.75" customHeight="1">
      <c r="W563" s="392"/>
      <c r="X563" s="392"/>
      <c r="Y563" s="392"/>
    </row>
    <row r="564" ht="15.75" customHeight="1">
      <c r="W564" s="392"/>
      <c r="X564" s="392"/>
      <c r="Y564" s="392"/>
    </row>
    <row r="565" ht="15.75" customHeight="1">
      <c r="W565" s="392"/>
      <c r="X565" s="392"/>
      <c r="Y565" s="392"/>
    </row>
    <row r="566" ht="15.75" customHeight="1">
      <c r="W566" s="392"/>
      <c r="X566" s="392"/>
      <c r="Y566" s="392"/>
    </row>
    <row r="567" ht="15.75" customHeight="1">
      <c r="W567" s="392"/>
      <c r="X567" s="392"/>
      <c r="Y567" s="392"/>
    </row>
    <row r="568" ht="15.75" customHeight="1">
      <c r="W568" s="392"/>
      <c r="X568" s="392"/>
      <c r="Y568" s="392"/>
    </row>
    <row r="569" ht="15.75" customHeight="1">
      <c r="W569" s="392"/>
      <c r="X569" s="392"/>
      <c r="Y569" s="392"/>
    </row>
    <row r="570" ht="15.75" customHeight="1">
      <c r="W570" s="392"/>
      <c r="X570" s="392"/>
      <c r="Y570" s="392"/>
    </row>
    <row r="571" ht="15.75" customHeight="1">
      <c r="W571" s="392"/>
      <c r="X571" s="392"/>
      <c r="Y571" s="392"/>
    </row>
    <row r="572" ht="15.75" customHeight="1">
      <c r="W572" s="392"/>
      <c r="X572" s="392"/>
      <c r="Y572" s="392"/>
    </row>
    <row r="573" ht="15.75" customHeight="1">
      <c r="W573" s="392"/>
      <c r="X573" s="392"/>
      <c r="Y573" s="392"/>
    </row>
    <row r="574" ht="15.75" customHeight="1">
      <c r="W574" s="392"/>
      <c r="X574" s="392"/>
      <c r="Y574" s="392"/>
    </row>
    <row r="575" ht="15.75" customHeight="1">
      <c r="W575" s="392"/>
      <c r="X575" s="392"/>
      <c r="Y575" s="392"/>
    </row>
    <row r="576" ht="15.75" customHeight="1">
      <c r="W576" s="392"/>
      <c r="X576" s="392"/>
      <c r="Y576" s="392"/>
    </row>
    <row r="577" ht="15.75" customHeight="1">
      <c r="W577" s="392"/>
      <c r="X577" s="392"/>
      <c r="Y577" s="392"/>
    </row>
    <row r="578" ht="15.75" customHeight="1">
      <c r="W578" s="392"/>
      <c r="X578" s="392"/>
      <c r="Y578" s="392"/>
    </row>
    <row r="579" ht="15.75" customHeight="1">
      <c r="W579" s="392"/>
      <c r="X579" s="392"/>
      <c r="Y579" s="392"/>
    </row>
    <row r="580" ht="15.75" customHeight="1">
      <c r="W580" s="392"/>
      <c r="X580" s="392"/>
      <c r="Y580" s="392"/>
    </row>
    <row r="581" ht="15.75" customHeight="1">
      <c r="W581" s="392"/>
      <c r="X581" s="392"/>
      <c r="Y581" s="392"/>
    </row>
    <row r="582" ht="15.75" customHeight="1">
      <c r="W582" s="392"/>
      <c r="X582" s="392"/>
      <c r="Y582" s="392"/>
    </row>
    <row r="583" ht="15.75" customHeight="1">
      <c r="W583" s="392"/>
      <c r="X583" s="392"/>
      <c r="Y583" s="392"/>
    </row>
    <row r="584" ht="15.75" customHeight="1">
      <c r="W584" s="392"/>
      <c r="X584" s="392"/>
      <c r="Y584" s="392"/>
    </row>
    <row r="585" ht="15.75" customHeight="1">
      <c r="W585" s="392"/>
      <c r="X585" s="392"/>
      <c r="Y585" s="392"/>
    </row>
    <row r="586" ht="15.75" customHeight="1">
      <c r="W586" s="392"/>
      <c r="X586" s="392"/>
      <c r="Y586" s="392"/>
    </row>
    <row r="587" ht="15.75" customHeight="1">
      <c r="W587" s="392"/>
      <c r="X587" s="392"/>
      <c r="Y587" s="392"/>
    </row>
    <row r="588" ht="15.75" customHeight="1">
      <c r="W588" s="392"/>
      <c r="X588" s="392"/>
      <c r="Y588" s="392"/>
    </row>
    <row r="589" ht="15.75" customHeight="1">
      <c r="W589" s="392"/>
      <c r="X589" s="392"/>
      <c r="Y589" s="392"/>
    </row>
    <row r="590" ht="15.75" customHeight="1">
      <c r="W590" s="392"/>
      <c r="X590" s="392"/>
      <c r="Y590" s="392"/>
    </row>
    <row r="591" ht="15.75" customHeight="1">
      <c r="W591" s="392"/>
      <c r="X591" s="392"/>
      <c r="Y591" s="392"/>
    </row>
    <row r="592" ht="15.75" customHeight="1">
      <c r="W592" s="392"/>
      <c r="X592" s="392"/>
      <c r="Y592" s="392"/>
    </row>
    <row r="593" ht="15.75" customHeight="1">
      <c r="W593" s="392"/>
      <c r="X593" s="392"/>
      <c r="Y593" s="392"/>
    </row>
    <row r="594" ht="15.75" customHeight="1">
      <c r="W594" s="392"/>
      <c r="X594" s="392"/>
      <c r="Y594" s="392"/>
    </row>
    <row r="595" ht="15.75" customHeight="1">
      <c r="W595" s="392"/>
      <c r="X595" s="392"/>
      <c r="Y595" s="392"/>
    </row>
    <row r="596" ht="15.75" customHeight="1">
      <c r="W596" s="392"/>
      <c r="X596" s="392"/>
      <c r="Y596" s="392"/>
    </row>
    <row r="597" ht="15.75" customHeight="1">
      <c r="W597" s="392"/>
      <c r="X597" s="392"/>
      <c r="Y597" s="392"/>
    </row>
    <row r="598" ht="15.75" customHeight="1">
      <c r="W598" s="392"/>
      <c r="X598" s="392"/>
      <c r="Y598" s="392"/>
    </row>
    <row r="599" ht="15.75" customHeight="1">
      <c r="W599" s="392"/>
      <c r="X599" s="392"/>
      <c r="Y599" s="392"/>
    </row>
    <row r="600" ht="15.75" customHeight="1">
      <c r="W600" s="392"/>
      <c r="X600" s="392"/>
      <c r="Y600" s="392"/>
    </row>
    <row r="601" ht="15.75" customHeight="1">
      <c r="W601" s="392"/>
      <c r="X601" s="392"/>
      <c r="Y601" s="392"/>
    </row>
    <row r="602" ht="15.75" customHeight="1">
      <c r="W602" s="392"/>
      <c r="X602" s="392"/>
      <c r="Y602" s="392"/>
    </row>
    <row r="603" ht="15.75" customHeight="1">
      <c r="W603" s="392"/>
      <c r="X603" s="392"/>
      <c r="Y603" s="392"/>
    </row>
    <row r="604" ht="15.75" customHeight="1">
      <c r="W604" s="392"/>
      <c r="X604" s="392"/>
      <c r="Y604" s="392"/>
    </row>
    <row r="605" ht="15.75" customHeight="1">
      <c r="W605" s="392"/>
      <c r="X605" s="392"/>
      <c r="Y605" s="392"/>
    </row>
    <row r="606" ht="15.75" customHeight="1">
      <c r="W606" s="392"/>
      <c r="X606" s="392"/>
      <c r="Y606" s="392"/>
    </row>
    <row r="607" ht="15.75" customHeight="1">
      <c r="W607" s="392"/>
      <c r="X607" s="392"/>
      <c r="Y607" s="392"/>
    </row>
    <row r="608" ht="15.75" customHeight="1">
      <c r="W608" s="392"/>
      <c r="X608" s="392"/>
      <c r="Y608" s="392"/>
    </row>
    <row r="609" ht="15.75" customHeight="1">
      <c r="W609" s="392"/>
      <c r="X609" s="392"/>
      <c r="Y609" s="392"/>
    </row>
    <row r="610" ht="15.75" customHeight="1">
      <c r="W610" s="392"/>
      <c r="X610" s="392"/>
      <c r="Y610" s="392"/>
    </row>
    <row r="611" ht="15.75" customHeight="1">
      <c r="W611" s="392"/>
      <c r="X611" s="392"/>
      <c r="Y611" s="392"/>
    </row>
    <row r="612" ht="15.75" customHeight="1">
      <c r="W612" s="392"/>
      <c r="X612" s="392"/>
      <c r="Y612" s="392"/>
    </row>
    <row r="613" ht="15.75" customHeight="1">
      <c r="W613" s="392"/>
      <c r="X613" s="392"/>
      <c r="Y613" s="392"/>
    </row>
    <row r="614" ht="15.75" customHeight="1">
      <c r="W614" s="392"/>
      <c r="X614" s="392"/>
      <c r="Y614" s="392"/>
    </row>
    <row r="615" ht="15.75" customHeight="1">
      <c r="W615" s="392"/>
      <c r="X615" s="392"/>
      <c r="Y615" s="392"/>
    </row>
    <row r="616" ht="15.75" customHeight="1">
      <c r="W616" s="392"/>
      <c r="X616" s="392"/>
      <c r="Y616" s="392"/>
    </row>
    <row r="617" ht="15.75" customHeight="1">
      <c r="W617" s="392"/>
      <c r="X617" s="392"/>
      <c r="Y617" s="392"/>
    </row>
    <row r="618" ht="15.75" customHeight="1">
      <c r="W618" s="392"/>
      <c r="X618" s="392"/>
      <c r="Y618" s="392"/>
    </row>
    <row r="619" ht="15.75" customHeight="1">
      <c r="W619" s="392"/>
      <c r="X619" s="392"/>
      <c r="Y619" s="392"/>
    </row>
    <row r="620" ht="15.75" customHeight="1">
      <c r="W620" s="392"/>
      <c r="X620" s="392"/>
      <c r="Y620" s="392"/>
    </row>
    <row r="621" ht="15.75" customHeight="1">
      <c r="W621" s="392"/>
      <c r="X621" s="392"/>
      <c r="Y621" s="392"/>
    </row>
    <row r="622" ht="15.75" customHeight="1">
      <c r="W622" s="392"/>
      <c r="X622" s="392"/>
      <c r="Y622" s="392"/>
    </row>
    <row r="623" ht="15.75" customHeight="1">
      <c r="W623" s="392"/>
      <c r="X623" s="392"/>
      <c r="Y623" s="392"/>
    </row>
    <row r="624" ht="15.75" customHeight="1">
      <c r="W624" s="392"/>
      <c r="X624" s="392"/>
      <c r="Y624" s="392"/>
    </row>
    <row r="625" ht="15.75" customHeight="1">
      <c r="W625" s="392"/>
      <c r="X625" s="392"/>
      <c r="Y625" s="392"/>
    </row>
    <row r="626" ht="15.75" customHeight="1">
      <c r="W626" s="392"/>
      <c r="X626" s="392"/>
      <c r="Y626" s="392"/>
    </row>
    <row r="627" ht="15.75" customHeight="1">
      <c r="W627" s="392"/>
      <c r="X627" s="392"/>
      <c r="Y627" s="392"/>
    </row>
    <row r="628" ht="15.75" customHeight="1">
      <c r="W628" s="392"/>
      <c r="X628" s="392"/>
      <c r="Y628" s="392"/>
    </row>
    <row r="629" ht="15.75" customHeight="1">
      <c r="W629" s="392"/>
      <c r="X629" s="392"/>
      <c r="Y629" s="392"/>
    </row>
    <row r="630" ht="15.75" customHeight="1">
      <c r="W630" s="392"/>
      <c r="X630" s="392"/>
      <c r="Y630" s="392"/>
    </row>
    <row r="631" ht="15.75" customHeight="1">
      <c r="W631" s="392"/>
      <c r="X631" s="392"/>
      <c r="Y631" s="392"/>
    </row>
    <row r="632" ht="15.75" customHeight="1">
      <c r="W632" s="392"/>
      <c r="X632" s="392"/>
      <c r="Y632" s="392"/>
    </row>
    <row r="633" ht="15.75" customHeight="1">
      <c r="W633" s="392"/>
      <c r="X633" s="392"/>
      <c r="Y633" s="392"/>
    </row>
    <row r="634" ht="15.75" customHeight="1">
      <c r="W634" s="392"/>
      <c r="X634" s="392"/>
      <c r="Y634" s="392"/>
    </row>
    <row r="635" ht="15.75" customHeight="1">
      <c r="W635" s="392"/>
      <c r="X635" s="392"/>
      <c r="Y635" s="392"/>
    </row>
    <row r="636" ht="15.75" customHeight="1">
      <c r="W636" s="392"/>
      <c r="X636" s="392"/>
      <c r="Y636" s="392"/>
    </row>
    <row r="637" ht="15.75" customHeight="1">
      <c r="W637" s="392"/>
      <c r="X637" s="392"/>
      <c r="Y637" s="392"/>
    </row>
    <row r="638" ht="15.75" customHeight="1">
      <c r="W638" s="392"/>
      <c r="X638" s="392"/>
      <c r="Y638" s="392"/>
    </row>
    <row r="639" ht="15.75" customHeight="1">
      <c r="W639" s="392"/>
      <c r="X639" s="392"/>
      <c r="Y639" s="392"/>
    </row>
    <row r="640" ht="15.75" customHeight="1">
      <c r="W640" s="392"/>
      <c r="X640" s="392"/>
      <c r="Y640" s="392"/>
    </row>
    <row r="641" ht="15.75" customHeight="1">
      <c r="W641" s="392"/>
      <c r="X641" s="392"/>
      <c r="Y641" s="392"/>
    </row>
    <row r="642" ht="15.75" customHeight="1">
      <c r="W642" s="392"/>
      <c r="X642" s="392"/>
      <c r="Y642" s="392"/>
    </row>
    <row r="643" ht="15.75" customHeight="1">
      <c r="W643" s="392"/>
      <c r="X643" s="392"/>
      <c r="Y643" s="392"/>
    </row>
    <row r="644" ht="15.75" customHeight="1">
      <c r="W644" s="392"/>
      <c r="X644" s="392"/>
      <c r="Y644" s="392"/>
    </row>
    <row r="645" ht="15.75" customHeight="1">
      <c r="W645" s="392"/>
      <c r="X645" s="392"/>
      <c r="Y645" s="392"/>
    </row>
    <row r="646" ht="15.75" customHeight="1">
      <c r="W646" s="392"/>
      <c r="X646" s="392"/>
      <c r="Y646" s="392"/>
    </row>
    <row r="647" ht="15.75" customHeight="1">
      <c r="W647" s="392"/>
      <c r="X647" s="392"/>
      <c r="Y647" s="392"/>
    </row>
    <row r="648" ht="15.75" customHeight="1">
      <c r="W648" s="392"/>
      <c r="X648" s="392"/>
      <c r="Y648" s="392"/>
    </row>
    <row r="649" ht="15.75" customHeight="1">
      <c r="W649" s="392"/>
      <c r="X649" s="392"/>
      <c r="Y649" s="392"/>
    </row>
    <row r="650" ht="15.75" customHeight="1">
      <c r="W650" s="392"/>
      <c r="X650" s="392"/>
      <c r="Y650" s="392"/>
    </row>
    <row r="651" ht="15.75" customHeight="1">
      <c r="W651" s="392"/>
      <c r="X651" s="392"/>
      <c r="Y651" s="392"/>
    </row>
    <row r="652" ht="15.75" customHeight="1">
      <c r="W652" s="392"/>
      <c r="X652" s="392"/>
      <c r="Y652" s="392"/>
    </row>
    <row r="653" ht="15.75" customHeight="1">
      <c r="W653" s="392"/>
      <c r="X653" s="392"/>
      <c r="Y653" s="392"/>
    </row>
    <row r="654" ht="15.75" customHeight="1">
      <c r="W654" s="392"/>
      <c r="X654" s="392"/>
      <c r="Y654" s="392"/>
    </row>
    <row r="655" ht="15.75" customHeight="1">
      <c r="W655" s="392"/>
      <c r="X655" s="392"/>
      <c r="Y655" s="392"/>
    </row>
    <row r="656" ht="15.75" customHeight="1">
      <c r="W656" s="392"/>
      <c r="X656" s="392"/>
      <c r="Y656" s="392"/>
    </row>
    <row r="657" ht="15.75" customHeight="1">
      <c r="W657" s="392"/>
      <c r="X657" s="392"/>
      <c r="Y657" s="392"/>
    </row>
    <row r="658" ht="15.75" customHeight="1">
      <c r="W658" s="392"/>
      <c r="X658" s="392"/>
      <c r="Y658" s="392"/>
    </row>
    <row r="659" ht="15.75" customHeight="1">
      <c r="W659" s="392"/>
      <c r="X659" s="392"/>
      <c r="Y659" s="392"/>
    </row>
    <row r="660" ht="15.75" customHeight="1">
      <c r="W660" s="392"/>
      <c r="X660" s="392"/>
      <c r="Y660" s="392"/>
    </row>
    <row r="661" ht="15.75" customHeight="1">
      <c r="W661" s="392"/>
      <c r="X661" s="392"/>
      <c r="Y661" s="392"/>
    </row>
    <row r="662" ht="15.75" customHeight="1">
      <c r="W662" s="392"/>
      <c r="X662" s="392"/>
      <c r="Y662" s="392"/>
    </row>
    <row r="663" ht="15.75" customHeight="1">
      <c r="W663" s="392"/>
      <c r="X663" s="392"/>
      <c r="Y663" s="392"/>
    </row>
    <row r="664" ht="15.75" customHeight="1">
      <c r="W664" s="392"/>
      <c r="X664" s="392"/>
      <c r="Y664" s="392"/>
    </row>
    <row r="665" ht="15.75" customHeight="1">
      <c r="W665" s="392"/>
      <c r="X665" s="392"/>
      <c r="Y665" s="392"/>
    </row>
    <row r="666" ht="15.75" customHeight="1">
      <c r="W666" s="392"/>
      <c r="X666" s="392"/>
      <c r="Y666" s="392"/>
    </row>
    <row r="667" ht="15.75" customHeight="1">
      <c r="W667" s="392"/>
      <c r="X667" s="392"/>
      <c r="Y667" s="392"/>
    </row>
    <row r="668" ht="15.75" customHeight="1">
      <c r="W668" s="392"/>
      <c r="X668" s="392"/>
      <c r="Y668" s="392"/>
    </row>
    <row r="669" ht="15.75" customHeight="1">
      <c r="W669" s="392"/>
      <c r="X669" s="392"/>
      <c r="Y669" s="392"/>
    </row>
    <row r="670" ht="15.75" customHeight="1">
      <c r="W670" s="392"/>
      <c r="X670" s="392"/>
      <c r="Y670" s="392"/>
    </row>
    <row r="671" ht="15.75" customHeight="1">
      <c r="W671" s="392"/>
      <c r="X671" s="392"/>
      <c r="Y671" s="392"/>
    </row>
    <row r="672" ht="15.75" customHeight="1">
      <c r="W672" s="392"/>
      <c r="X672" s="392"/>
      <c r="Y672" s="392"/>
    </row>
    <row r="673" ht="15.75" customHeight="1">
      <c r="W673" s="392"/>
      <c r="X673" s="392"/>
      <c r="Y673" s="392"/>
    </row>
    <row r="674" ht="15.75" customHeight="1">
      <c r="W674" s="392"/>
      <c r="X674" s="392"/>
      <c r="Y674" s="392"/>
    </row>
    <row r="675" ht="15.75" customHeight="1">
      <c r="W675" s="392"/>
      <c r="X675" s="392"/>
      <c r="Y675" s="392"/>
    </row>
    <row r="676" ht="15.75" customHeight="1">
      <c r="W676" s="392"/>
      <c r="X676" s="392"/>
      <c r="Y676" s="392"/>
    </row>
    <row r="677" ht="15.75" customHeight="1">
      <c r="W677" s="392"/>
      <c r="X677" s="392"/>
      <c r="Y677" s="392"/>
    </row>
    <row r="678" ht="15.75" customHeight="1">
      <c r="W678" s="392"/>
      <c r="X678" s="392"/>
      <c r="Y678" s="392"/>
    </row>
    <row r="679" ht="15.75" customHeight="1">
      <c r="W679" s="392"/>
      <c r="X679" s="392"/>
      <c r="Y679" s="392"/>
    </row>
    <row r="680" ht="15.75" customHeight="1">
      <c r="W680" s="392"/>
      <c r="X680" s="392"/>
      <c r="Y680" s="392"/>
    </row>
    <row r="681" ht="15.75" customHeight="1">
      <c r="W681" s="392"/>
      <c r="X681" s="392"/>
      <c r="Y681" s="392"/>
    </row>
    <row r="682" ht="15.75" customHeight="1">
      <c r="W682" s="392"/>
      <c r="X682" s="392"/>
      <c r="Y682" s="392"/>
    </row>
    <row r="683" ht="15.75" customHeight="1">
      <c r="W683" s="392"/>
      <c r="X683" s="392"/>
      <c r="Y683" s="392"/>
    </row>
    <row r="684" ht="15.75" customHeight="1">
      <c r="W684" s="392"/>
      <c r="X684" s="392"/>
      <c r="Y684" s="392"/>
    </row>
    <row r="685" ht="15.75" customHeight="1">
      <c r="W685" s="392"/>
      <c r="X685" s="392"/>
      <c r="Y685" s="392"/>
    </row>
    <row r="686" ht="15.75" customHeight="1">
      <c r="W686" s="392"/>
      <c r="X686" s="392"/>
      <c r="Y686" s="392"/>
    </row>
    <row r="687" ht="15.75" customHeight="1">
      <c r="W687" s="392"/>
      <c r="X687" s="392"/>
      <c r="Y687" s="392"/>
    </row>
    <row r="688" ht="15.75" customHeight="1">
      <c r="W688" s="392"/>
      <c r="X688" s="392"/>
      <c r="Y688" s="392"/>
    </row>
    <row r="689" ht="15.75" customHeight="1">
      <c r="W689" s="392"/>
      <c r="X689" s="392"/>
      <c r="Y689" s="392"/>
    </row>
    <row r="690" ht="15.75" customHeight="1">
      <c r="W690" s="392"/>
      <c r="X690" s="392"/>
      <c r="Y690" s="392"/>
    </row>
    <row r="691" ht="15.75" customHeight="1">
      <c r="W691" s="392"/>
      <c r="X691" s="392"/>
      <c r="Y691" s="392"/>
    </row>
    <row r="692" ht="15.75" customHeight="1">
      <c r="W692" s="392"/>
      <c r="X692" s="392"/>
      <c r="Y692" s="392"/>
    </row>
    <row r="693" ht="15.75" customHeight="1">
      <c r="W693" s="392"/>
      <c r="X693" s="392"/>
      <c r="Y693" s="392"/>
    </row>
    <row r="694" ht="15.75" customHeight="1">
      <c r="W694" s="392"/>
      <c r="X694" s="392"/>
      <c r="Y694" s="392"/>
    </row>
    <row r="695" ht="15.75" customHeight="1">
      <c r="W695" s="392"/>
      <c r="X695" s="392"/>
      <c r="Y695" s="392"/>
    </row>
    <row r="696" ht="15.75" customHeight="1">
      <c r="W696" s="392"/>
      <c r="X696" s="392"/>
      <c r="Y696" s="392"/>
    </row>
    <row r="697" ht="15.75" customHeight="1">
      <c r="W697" s="392"/>
      <c r="X697" s="392"/>
      <c r="Y697" s="392"/>
    </row>
    <row r="698" ht="15.75" customHeight="1">
      <c r="W698" s="392"/>
      <c r="X698" s="392"/>
      <c r="Y698" s="392"/>
    </row>
    <row r="699" ht="15.75" customHeight="1">
      <c r="W699" s="392"/>
      <c r="X699" s="392"/>
      <c r="Y699" s="392"/>
    </row>
    <row r="700" ht="15.75" customHeight="1">
      <c r="W700" s="392"/>
      <c r="X700" s="392"/>
      <c r="Y700" s="392"/>
    </row>
    <row r="701" ht="15.75" customHeight="1">
      <c r="W701" s="392"/>
      <c r="X701" s="392"/>
      <c r="Y701" s="392"/>
    </row>
    <row r="702" ht="15.75" customHeight="1">
      <c r="W702" s="392"/>
      <c r="X702" s="392"/>
      <c r="Y702" s="392"/>
    </row>
    <row r="703" ht="15.75" customHeight="1">
      <c r="W703" s="392"/>
      <c r="X703" s="392"/>
      <c r="Y703" s="392"/>
    </row>
    <row r="704" ht="15.75" customHeight="1">
      <c r="W704" s="392"/>
      <c r="X704" s="392"/>
      <c r="Y704" s="392"/>
    </row>
    <row r="705" ht="15.75" customHeight="1">
      <c r="W705" s="392"/>
      <c r="X705" s="392"/>
      <c r="Y705" s="392"/>
    </row>
    <row r="706" ht="15.75" customHeight="1">
      <c r="W706" s="392"/>
      <c r="X706" s="392"/>
      <c r="Y706" s="392"/>
    </row>
    <row r="707" ht="15.75" customHeight="1">
      <c r="W707" s="392"/>
      <c r="X707" s="392"/>
      <c r="Y707" s="392"/>
    </row>
    <row r="708" ht="15.75" customHeight="1">
      <c r="W708" s="392"/>
      <c r="X708" s="392"/>
      <c r="Y708" s="392"/>
    </row>
    <row r="709" ht="15.75" customHeight="1">
      <c r="W709" s="392"/>
      <c r="X709" s="392"/>
      <c r="Y709" s="392"/>
    </row>
    <row r="710" ht="15.75" customHeight="1">
      <c r="W710" s="392"/>
      <c r="X710" s="392"/>
      <c r="Y710" s="392"/>
    </row>
    <row r="711" ht="15.75" customHeight="1">
      <c r="W711" s="392"/>
      <c r="X711" s="392"/>
      <c r="Y711" s="392"/>
    </row>
    <row r="712" ht="15.75" customHeight="1">
      <c r="W712" s="392"/>
      <c r="X712" s="392"/>
      <c r="Y712" s="392"/>
    </row>
    <row r="713" ht="15.75" customHeight="1">
      <c r="W713" s="392"/>
      <c r="X713" s="392"/>
      <c r="Y713" s="392"/>
    </row>
    <row r="714" ht="15.75" customHeight="1">
      <c r="W714" s="392"/>
      <c r="X714" s="392"/>
      <c r="Y714" s="392"/>
    </row>
    <row r="715" ht="15.75" customHeight="1">
      <c r="W715" s="392"/>
      <c r="X715" s="392"/>
      <c r="Y715" s="392"/>
    </row>
    <row r="716" ht="15.75" customHeight="1">
      <c r="W716" s="392"/>
      <c r="X716" s="392"/>
      <c r="Y716" s="392"/>
    </row>
    <row r="717" ht="15.75" customHeight="1">
      <c r="W717" s="392"/>
      <c r="X717" s="392"/>
      <c r="Y717" s="392"/>
    </row>
    <row r="718" ht="15.75" customHeight="1">
      <c r="W718" s="392"/>
      <c r="X718" s="392"/>
      <c r="Y718" s="392"/>
    </row>
    <row r="719" ht="15.75" customHeight="1">
      <c r="W719" s="392"/>
      <c r="X719" s="392"/>
      <c r="Y719" s="392"/>
    </row>
    <row r="720" ht="15.75" customHeight="1">
      <c r="W720" s="392"/>
      <c r="X720" s="392"/>
      <c r="Y720" s="392"/>
    </row>
    <row r="721" ht="15.75" customHeight="1">
      <c r="W721" s="392"/>
      <c r="X721" s="392"/>
      <c r="Y721" s="392"/>
    </row>
    <row r="722" ht="15.75" customHeight="1">
      <c r="W722" s="392"/>
      <c r="X722" s="392"/>
      <c r="Y722" s="392"/>
    </row>
    <row r="723" ht="15.75" customHeight="1">
      <c r="W723" s="392"/>
      <c r="X723" s="392"/>
      <c r="Y723" s="392"/>
    </row>
    <row r="724" ht="15.75" customHeight="1">
      <c r="W724" s="392"/>
      <c r="X724" s="392"/>
      <c r="Y724" s="392"/>
    </row>
    <row r="725" ht="15.75" customHeight="1">
      <c r="W725" s="392"/>
      <c r="X725" s="392"/>
      <c r="Y725" s="392"/>
    </row>
    <row r="726" ht="15.75" customHeight="1">
      <c r="W726" s="392"/>
      <c r="X726" s="392"/>
      <c r="Y726" s="392"/>
    </row>
    <row r="727" ht="15.75" customHeight="1">
      <c r="W727" s="392"/>
      <c r="X727" s="392"/>
      <c r="Y727" s="392"/>
    </row>
    <row r="728" ht="15.75" customHeight="1">
      <c r="W728" s="392"/>
      <c r="X728" s="392"/>
      <c r="Y728" s="392"/>
    </row>
    <row r="729" ht="15.75" customHeight="1">
      <c r="W729" s="392"/>
      <c r="X729" s="392"/>
      <c r="Y729" s="392"/>
    </row>
    <row r="730" ht="15.75" customHeight="1">
      <c r="W730" s="392"/>
      <c r="X730" s="392"/>
      <c r="Y730" s="392"/>
    </row>
    <row r="731" ht="15.75" customHeight="1">
      <c r="W731" s="392"/>
      <c r="X731" s="392"/>
      <c r="Y731" s="392"/>
    </row>
    <row r="732" ht="15.75" customHeight="1">
      <c r="W732" s="392"/>
      <c r="X732" s="392"/>
      <c r="Y732" s="392"/>
    </row>
    <row r="733" ht="15.75" customHeight="1">
      <c r="W733" s="392"/>
      <c r="X733" s="392"/>
      <c r="Y733" s="392"/>
    </row>
    <row r="734" ht="15.75" customHeight="1">
      <c r="W734" s="392"/>
      <c r="X734" s="392"/>
      <c r="Y734" s="392"/>
    </row>
    <row r="735" ht="15.75" customHeight="1">
      <c r="W735" s="392"/>
      <c r="X735" s="392"/>
      <c r="Y735" s="392"/>
    </row>
    <row r="736" ht="15.75" customHeight="1">
      <c r="W736" s="392"/>
      <c r="X736" s="392"/>
      <c r="Y736" s="392"/>
    </row>
    <row r="737" ht="15.75" customHeight="1">
      <c r="W737" s="392"/>
      <c r="X737" s="392"/>
      <c r="Y737" s="392"/>
    </row>
    <row r="738" ht="15.75" customHeight="1">
      <c r="W738" s="392"/>
      <c r="X738" s="392"/>
      <c r="Y738" s="392"/>
    </row>
    <row r="739" ht="15.75" customHeight="1">
      <c r="W739" s="392"/>
      <c r="X739" s="392"/>
      <c r="Y739" s="392"/>
    </row>
    <row r="740" ht="15.75" customHeight="1">
      <c r="W740" s="392"/>
      <c r="X740" s="392"/>
      <c r="Y740" s="392"/>
    </row>
    <row r="741" ht="15.75" customHeight="1">
      <c r="W741" s="392"/>
      <c r="X741" s="392"/>
      <c r="Y741" s="392"/>
    </row>
    <row r="742" ht="15.75" customHeight="1">
      <c r="W742" s="392"/>
      <c r="X742" s="392"/>
      <c r="Y742" s="392"/>
    </row>
    <row r="743" ht="15.75" customHeight="1">
      <c r="W743" s="392"/>
      <c r="X743" s="392"/>
      <c r="Y743" s="392"/>
    </row>
    <row r="744" ht="15.75" customHeight="1">
      <c r="W744" s="392"/>
      <c r="X744" s="392"/>
      <c r="Y744" s="392"/>
    </row>
    <row r="745" ht="15.75" customHeight="1">
      <c r="W745" s="392"/>
      <c r="X745" s="392"/>
      <c r="Y745" s="392"/>
    </row>
    <row r="746" ht="15.75" customHeight="1">
      <c r="W746" s="392"/>
      <c r="X746" s="392"/>
      <c r="Y746" s="392"/>
    </row>
    <row r="747" ht="15.75" customHeight="1">
      <c r="W747" s="392"/>
      <c r="X747" s="392"/>
      <c r="Y747" s="392"/>
    </row>
    <row r="748" ht="15.75" customHeight="1">
      <c r="W748" s="392"/>
      <c r="X748" s="392"/>
      <c r="Y748" s="392"/>
    </row>
    <row r="749" ht="15.75" customHeight="1">
      <c r="W749" s="392"/>
      <c r="X749" s="392"/>
      <c r="Y749" s="392"/>
    </row>
    <row r="750" ht="15.75" customHeight="1">
      <c r="W750" s="392"/>
      <c r="X750" s="392"/>
      <c r="Y750" s="392"/>
    </row>
    <row r="751" ht="15.75" customHeight="1">
      <c r="W751" s="392"/>
      <c r="X751" s="392"/>
      <c r="Y751" s="392"/>
    </row>
    <row r="752" ht="15.75" customHeight="1">
      <c r="W752" s="392"/>
      <c r="X752" s="392"/>
      <c r="Y752" s="392"/>
    </row>
    <row r="753" ht="15.75" customHeight="1">
      <c r="W753" s="392"/>
      <c r="X753" s="392"/>
      <c r="Y753" s="392"/>
    </row>
    <row r="754" ht="15.75" customHeight="1">
      <c r="W754" s="392"/>
      <c r="X754" s="392"/>
      <c r="Y754" s="392"/>
    </row>
    <row r="755" ht="15.75" customHeight="1">
      <c r="W755" s="392"/>
      <c r="X755" s="392"/>
      <c r="Y755" s="392"/>
    </row>
    <row r="756" ht="15.75" customHeight="1">
      <c r="W756" s="392"/>
      <c r="X756" s="392"/>
      <c r="Y756" s="392"/>
    </row>
    <row r="757" ht="15.75" customHeight="1">
      <c r="W757" s="392"/>
      <c r="X757" s="392"/>
      <c r="Y757" s="392"/>
    </row>
    <row r="758" ht="15.75" customHeight="1">
      <c r="W758" s="392"/>
      <c r="X758" s="392"/>
      <c r="Y758" s="392"/>
    </row>
    <row r="759" ht="15.75" customHeight="1">
      <c r="W759" s="392"/>
      <c r="X759" s="392"/>
      <c r="Y759" s="392"/>
    </row>
    <row r="760" ht="15.75" customHeight="1">
      <c r="W760" s="392"/>
      <c r="X760" s="392"/>
      <c r="Y760" s="392"/>
    </row>
    <row r="761" ht="15.75" customHeight="1">
      <c r="W761" s="392"/>
      <c r="X761" s="392"/>
      <c r="Y761" s="392"/>
    </row>
    <row r="762" ht="15.75" customHeight="1">
      <c r="W762" s="392"/>
      <c r="X762" s="392"/>
      <c r="Y762" s="392"/>
    </row>
    <row r="763" ht="15.75" customHeight="1">
      <c r="W763" s="392"/>
      <c r="X763" s="392"/>
      <c r="Y763" s="392"/>
    </row>
    <row r="764" ht="15.75" customHeight="1">
      <c r="W764" s="392"/>
      <c r="X764" s="392"/>
      <c r="Y764" s="392"/>
    </row>
    <row r="765" ht="15.75" customHeight="1">
      <c r="W765" s="392"/>
      <c r="X765" s="392"/>
      <c r="Y765" s="392"/>
    </row>
    <row r="766" ht="15.75" customHeight="1">
      <c r="W766" s="392"/>
      <c r="X766" s="392"/>
      <c r="Y766" s="392"/>
    </row>
    <row r="767" ht="15.75" customHeight="1">
      <c r="W767" s="392"/>
      <c r="X767" s="392"/>
      <c r="Y767" s="392"/>
    </row>
    <row r="768" ht="15.75" customHeight="1">
      <c r="W768" s="392"/>
      <c r="X768" s="392"/>
      <c r="Y768" s="392"/>
    </row>
    <row r="769" ht="15.75" customHeight="1">
      <c r="W769" s="392"/>
      <c r="X769" s="392"/>
      <c r="Y769" s="392"/>
    </row>
    <row r="770" ht="15.75" customHeight="1">
      <c r="W770" s="392"/>
      <c r="X770" s="392"/>
      <c r="Y770" s="392"/>
    </row>
    <row r="771" ht="15.75" customHeight="1">
      <c r="W771" s="392"/>
      <c r="X771" s="392"/>
      <c r="Y771" s="392"/>
    </row>
    <row r="772" ht="15.75" customHeight="1">
      <c r="W772" s="392"/>
      <c r="X772" s="392"/>
      <c r="Y772" s="392"/>
    </row>
    <row r="773" ht="15.75" customHeight="1">
      <c r="W773" s="392"/>
      <c r="X773" s="392"/>
      <c r="Y773" s="392"/>
    </row>
    <row r="774" ht="15.75" customHeight="1">
      <c r="W774" s="392"/>
      <c r="X774" s="392"/>
      <c r="Y774" s="392"/>
    </row>
    <row r="775" ht="15.75" customHeight="1">
      <c r="W775" s="392"/>
      <c r="X775" s="392"/>
      <c r="Y775" s="392"/>
    </row>
    <row r="776" ht="15.75" customHeight="1">
      <c r="W776" s="392"/>
      <c r="X776" s="392"/>
      <c r="Y776" s="392"/>
    </row>
    <row r="777" ht="15.75" customHeight="1">
      <c r="W777" s="392"/>
      <c r="X777" s="392"/>
      <c r="Y777" s="392"/>
    </row>
    <row r="778" ht="15.75" customHeight="1">
      <c r="W778" s="392"/>
      <c r="X778" s="392"/>
      <c r="Y778" s="392"/>
    </row>
    <row r="779" ht="15.75" customHeight="1">
      <c r="W779" s="392"/>
      <c r="X779" s="392"/>
      <c r="Y779" s="392"/>
    </row>
    <row r="780" ht="15.75" customHeight="1">
      <c r="W780" s="392"/>
      <c r="X780" s="392"/>
      <c r="Y780" s="392"/>
    </row>
    <row r="781" ht="15.75" customHeight="1">
      <c r="W781" s="392"/>
      <c r="X781" s="392"/>
      <c r="Y781" s="392"/>
    </row>
    <row r="782" ht="15.75" customHeight="1">
      <c r="W782" s="392"/>
      <c r="X782" s="392"/>
      <c r="Y782" s="392"/>
    </row>
    <row r="783" ht="15.75" customHeight="1">
      <c r="W783" s="392"/>
      <c r="X783" s="392"/>
      <c r="Y783" s="392"/>
    </row>
    <row r="784" ht="15.75" customHeight="1">
      <c r="W784" s="392"/>
      <c r="X784" s="392"/>
      <c r="Y784" s="392"/>
    </row>
    <row r="785" ht="15.75" customHeight="1">
      <c r="W785" s="392"/>
      <c r="X785" s="392"/>
      <c r="Y785" s="392"/>
    </row>
    <row r="786" ht="15.75" customHeight="1">
      <c r="W786" s="392"/>
      <c r="X786" s="392"/>
      <c r="Y786" s="392"/>
    </row>
    <row r="787" ht="15.75" customHeight="1">
      <c r="W787" s="392"/>
      <c r="X787" s="392"/>
      <c r="Y787" s="392"/>
    </row>
    <row r="788" ht="15.75" customHeight="1">
      <c r="W788" s="392"/>
      <c r="X788" s="392"/>
      <c r="Y788" s="392"/>
    </row>
    <row r="789" ht="15.75" customHeight="1">
      <c r="W789" s="392"/>
      <c r="X789" s="392"/>
      <c r="Y789" s="392"/>
    </row>
    <row r="790" ht="15.75" customHeight="1">
      <c r="W790" s="392"/>
      <c r="X790" s="392"/>
      <c r="Y790" s="392"/>
    </row>
    <row r="791" ht="15.75" customHeight="1">
      <c r="W791" s="392"/>
      <c r="X791" s="392"/>
      <c r="Y791" s="392"/>
    </row>
    <row r="792" ht="15.75" customHeight="1">
      <c r="W792" s="392"/>
      <c r="X792" s="392"/>
      <c r="Y792" s="392"/>
    </row>
    <row r="793" ht="15.75" customHeight="1">
      <c r="W793" s="392"/>
      <c r="X793" s="392"/>
      <c r="Y793" s="392"/>
    </row>
    <row r="794" ht="15.75" customHeight="1">
      <c r="W794" s="392"/>
      <c r="X794" s="392"/>
      <c r="Y794" s="392"/>
    </row>
    <row r="795" ht="15.75" customHeight="1">
      <c r="W795" s="392"/>
      <c r="X795" s="392"/>
      <c r="Y795" s="392"/>
    </row>
    <row r="796" ht="15.75" customHeight="1">
      <c r="W796" s="392"/>
      <c r="X796" s="392"/>
      <c r="Y796" s="392"/>
    </row>
    <row r="797" ht="15.75" customHeight="1">
      <c r="W797" s="392"/>
      <c r="X797" s="392"/>
      <c r="Y797" s="392"/>
    </row>
    <row r="798" ht="15.75" customHeight="1">
      <c r="W798" s="392"/>
      <c r="X798" s="392"/>
      <c r="Y798" s="392"/>
    </row>
    <row r="799" ht="15.75" customHeight="1">
      <c r="W799" s="392"/>
      <c r="X799" s="392"/>
      <c r="Y799" s="392"/>
    </row>
    <row r="800" ht="15.75" customHeight="1">
      <c r="W800" s="392"/>
      <c r="X800" s="392"/>
      <c r="Y800" s="392"/>
    </row>
    <row r="801" ht="15.75" customHeight="1">
      <c r="W801" s="392"/>
      <c r="X801" s="392"/>
      <c r="Y801" s="392"/>
    </row>
    <row r="802" ht="15.75" customHeight="1">
      <c r="W802" s="392"/>
      <c r="X802" s="392"/>
      <c r="Y802" s="392"/>
    </row>
    <row r="803" ht="15.75" customHeight="1">
      <c r="W803" s="392"/>
      <c r="X803" s="392"/>
      <c r="Y803" s="392"/>
    </row>
    <row r="804" ht="15.75" customHeight="1">
      <c r="W804" s="392"/>
      <c r="X804" s="392"/>
      <c r="Y804" s="392"/>
    </row>
    <row r="805" ht="15.75" customHeight="1">
      <c r="W805" s="392"/>
      <c r="X805" s="392"/>
      <c r="Y805" s="392"/>
    </row>
    <row r="806" ht="15.75" customHeight="1">
      <c r="W806" s="392"/>
      <c r="X806" s="392"/>
      <c r="Y806" s="392"/>
    </row>
    <row r="807" ht="15.75" customHeight="1">
      <c r="W807" s="392"/>
      <c r="X807" s="392"/>
      <c r="Y807" s="392"/>
    </row>
    <row r="808" ht="15.75" customHeight="1">
      <c r="W808" s="392"/>
      <c r="X808" s="392"/>
      <c r="Y808" s="392"/>
    </row>
    <row r="809" ht="15.75" customHeight="1">
      <c r="W809" s="392"/>
      <c r="X809" s="392"/>
      <c r="Y809" s="392"/>
    </row>
    <row r="810" ht="15.75" customHeight="1">
      <c r="W810" s="392"/>
      <c r="X810" s="392"/>
      <c r="Y810" s="392"/>
    </row>
    <row r="811" ht="15.75" customHeight="1">
      <c r="W811" s="392"/>
      <c r="X811" s="392"/>
      <c r="Y811" s="392"/>
    </row>
    <row r="812" ht="15.75" customHeight="1">
      <c r="W812" s="392"/>
      <c r="X812" s="392"/>
      <c r="Y812" s="392"/>
    </row>
    <row r="813" ht="15.75" customHeight="1">
      <c r="W813" s="392"/>
      <c r="X813" s="392"/>
      <c r="Y813" s="392"/>
    </row>
    <row r="814" ht="15.75" customHeight="1">
      <c r="W814" s="392"/>
      <c r="X814" s="392"/>
      <c r="Y814" s="392"/>
    </row>
    <row r="815" ht="15.75" customHeight="1">
      <c r="W815" s="392"/>
      <c r="X815" s="392"/>
      <c r="Y815" s="392"/>
    </row>
    <row r="816" ht="15.75" customHeight="1">
      <c r="W816" s="392"/>
      <c r="X816" s="392"/>
      <c r="Y816" s="392"/>
    </row>
    <row r="817" ht="15.75" customHeight="1">
      <c r="W817" s="392"/>
      <c r="X817" s="392"/>
      <c r="Y817" s="392"/>
    </row>
    <row r="818" ht="15.75" customHeight="1">
      <c r="W818" s="392"/>
      <c r="X818" s="392"/>
      <c r="Y818" s="392"/>
    </row>
    <row r="819" ht="15.75" customHeight="1">
      <c r="W819" s="392"/>
      <c r="X819" s="392"/>
      <c r="Y819" s="392"/>
    </row>
    <row r="820" ht="15.75" customHeight="1">
      <c r="W820" s="392"/>
      <c r="X820" s="392"/>
      <c r="Y820" s="392"/>
    </row>
    <row r="821" ht="15.75" customHeight="1">
      <c r="W821" s="392"/>
      <c r="X821" s="392"/>
      <c r="Y821" s="392"/>
    </row>
    <row r="822" ht="15.75" customHeight="1">
      <c r="W822" s="392"/>
      <c r="X822" s="392"/>
      <c r="Y822" s="392"/>
    </row>
    <row r="823" ht="15.75" customHeight="1">
      <c r="W823" s="392"/>
      <c r="X823" s="392"/>
      <c r="Y823" s="392"/>
    </row>
    <row r="824" ht="15.75" customHeight="1">
      <c r="W824" s="392"/>
      <c r="X824" s="392"/>
      <c r="Y824" s="392"/>
    </row>
    <row r="825" ht="15.75" customHeight="1">
      <c r="W825" s="392"/>
      <c r="X825" s="392"/>
      <c r="Y825" s="392"/>
    </row>
    <row r="826" ht="15.75" customHeight="1">
      <c r="W826" s="392"/>
      <c r="X826" s="392"/>
      <c r="Y826" s="392"/>
    </row>
    <row r="827" ht="15.75" customHeight="1">
      <c r="W827" s="392"/>
      <c r="X827" s="392"/>
      <c r="Y827" s="392"/>
    </row>
    <row r="828" ht="15.75" customHeight="1">
      <c r="W828" s="392"/>
      <c r="X828" s="392"/>
      <c r="Y828" s="392"/>
    </row>
    <row r="829" ht="15.75" customHeight="1">
      <c r="W829" s="392"/>
      <c r="X829" s="392"/>
      <c r="Y829" s="392"/>
    </row>
    <row r="830" ht="15.75" customHeight="1">
      <c r="W830" s="392"/>
      <c r="X830" s="392"/>
      <c r="Y830" s="392"/>
    </row>
    <row r="831" ht="15.75" customHeight="1">
      <c r="W831" s="392"/>
      <c r="X831" s="392"/>
      <c r="Y831" s="392"/>
    </row>
    <row r="832" ht="15.75" customHeight="1">
      <c r="W832" s="392"/>
      <c r="X832" s="392"/>
      <c r="Y832" s="392"/>
    </row>
    <row r="833" ht="15.75" customHeight="1">
      <c r="W833" s="392"/>
      <c r="X833" s="392"/>
      <c r="Y833" s="392"/>
    </row>
    <row r="834" ht="15.75" customHeight="1">
      <c r="W834" s="392"/>
      <c r="X834" s="392"/>
      <c r="Y834" s="392"/>
    </row>
    <row r="835" ht="15.75" customHeight="1">
      <c r="W835" s="392"/>
      <c r="X835" s="392"/>
      <c r="Y835" s="392"/>
    </row>
    <row r="836" ht="15.75" customHeight="1">
      <c r="W836" s="392"/>
      <c r="X836" s="392"/>
      <c r="Y836" s="392"/>
    </row>
    <row r="837" ht="15.75" customHeight="1">
      <c r="W837" s="392"/>
      <c r="X837" s="392"/>
      <c r="Y837" s="392"/>
    </row>
    <row r="838" ht="15.75" customHeight="1">
      <c r="W838" s="392"/>
      <c r="X838" s="392"/>
      <c r="Y838" s="392"/>
    </row>
    <row r="839" ht="15.75" customHeight="1">
      <c r="W839" s="392"/>
      <c r="X839" s="392"/>
      <c r="Y839" s="392"/>
    </row>
    <row r="840" ht="15.75" customHeight="1">
      <c r="W840" s="392"/>
      <c r="X840" s="392"/>
      <c r="Y840" s="392"/>
    </row>
    <row r="841" ht="15.75" customHeight="1">
      <c r="W841" s="392"/>
      <c r="X841" s="392"/>
      <c r="Y841" s="392"/>
    </row>
    <row r="842" ht="15.75" customHeight="1">
      <c r="W842" s="392"/>
      <c r="X842" s="392"/>
      <c r="Y842" s="392"/>
    </row>
    <row r="843" ht="15.75" customHeight="1">
      <c r="W843" s="392"/>
      <c r="X843" s="392"/>
      <c r="Y843" s="392"/>
    </row>
    <row r="844" ht="15.75" customHeight="1">
      <c r="W844" s="392"/>
      <c r="X844" s="392"/>
      <c r="Y844" s="392"/>
    </row>
    <row r="845" ht="15.75" customHeight="1">
      <c r="W845" s="392"/>
      <c r="X845" s="392"/>
      <c r="Y845" s="392"/>
    </row>
    <row r="846" ht="15.75" customHeight="1">
      <c r="W846" s="392"/>
      <c r="X846" s="392"/>
      <c r="Y846" s="392"/>
    </row>
    <row r="847" ht="15.75" customHeight="1">
      <c r="W847" s="392"/>
      <c r="X847" s="392"/>
      <c r="Y847" s="392"/>
    </row>
    <row r="848" ht="15.75" customHeight="1">
      <c r="W848" s="392"/>
      <c r="X848" s="392"/>
      <c r="Y848" s="392"/>
    </row>
    <row r="849" ht="15.75" customHeight="1">
      <c r="W849" s="392"/>
      <c r="X849" s="392"/>
      <c r="Y849" s="392"/>
    </row>
    <row r="850" ht="15.75" customHeight="1">
      <c r="W850" s="392"/>
      <c r="X850" s="392"/>
      <c r="Y850" s="392"/>
    </row>
    <row r="851" ht="15.75" customHeight="1">
      <c r="W851" s="392"/>
      <c r="X851" s="392"/>
      <c r="Y851" s="392"/>
    </row>
    <row r="852" ht="15.75" customHeight="1">
      <c r="W852" s="392"/>
      <c r="X852" s="392"/>
      <c r="Y852" s="392"/>
    </row>
    <row r="853" ht="15.75" customHeight="1">
      <c r="W853" s="392"/>
      <c r="X853" s="392"/>
      <c r="Y853" s="392"/>
    </row>
    <row r="854" ht="15.75" customHeight="1">
      <c r="W854" s="392"/>
      <c r="X854" s="392"/>
      <c r="Y854" s="392"/>
    </row>
    <row r="855" ht="15.75" customHeight="1">
      <c r="W855" s="392"/>
      <c r="X855" s="392"/>
      <c r="Y855" s="392"/>
    </row>
    <row r="856" ht="15.75" customHeight="1">
      <c r="W856" s="392"/>
      <c r="X856" s="392"/>
      <c r="Y856" s="392"/>
    </row>
    <row r="857" ht="15.75" customHeight="1">
      <c r="W857" s="392"/>
      <c r="X857" s="392"/>
      <c r="Y857" s="392"/>
    </row>
    <row r="858" ht="15.75" customHeight="1">
      <c r="W858" s="392"/>
      <c r="X858" s="392"/>
      <c r="Y858" s="392"/>
    </row>
    <row r="859" ht="15.75" customHeight="1">
      <c r="W859" s="392"/>
      <c r="X859" s="392"/>
      <c r="Y859" s="392"/>
    </row>
    <row r="860" ht="15.75" customHeight="1">
      <c r="W860" s="392"/>
      <c r="X860" s="392"/>
      <c r="Y860" s="392"/>
    </row>
    <row r="861" ht="15.75" customHeight="1">
      <c r="W861" s="392"/>
      <c r="X861" s="392"/>
      <c r="Y861" s="392"/>
    </row>
    <row r="862" ht="15.75" customHeight="1">
      <c r="W862" s="392"/>
      <c r="X862" s="392"/>
      <c r="Y862" s="392"/>
    </row>
    <row r="863" ht="15.75" customHeight="1">
      <c r="W863" s="392"/>
      <c r="X863" s="392"/>
      <c r="Y863" s="392"/>
    </row>
    <row r="864" ht="15.75" customHeight="1">
      <c r="W864" s="392"/>
      <c r="X864" s="392"/>
      <c r="Y864" s="392"/>
    </row>
    <row r="865" ht="15.75" customHeight="1">
      <c r="W865" s="392"/>
      <c r="X865" s="392"/>
      <c r="Y865" s="392"/>
    </row>
    <row r="866" ht="15.75" customHeight="1">
      <c r="W866" s="392"/>
      <c r="X866" s="392"/>
      <c r="Y866" s="392"/>
    </row>
    <row r="867" ht="15.75" customHeight="1">
      <c r="W867" s="392"/>
      <c r="X867" s="392"/>
      <c r="Y867" s="392"/>
    </row>
    <row r="868" ht="15.75" customHeight="1">
      <c r="W868" s="392"/>
      <c r="X868" s="392"/>
      <c r="Y868" s="392"/>
    </row>
    <row r="869" ht="15.75" customHeight="1">
      <c r="W869" s="392"/>
      <c r="X869" s="392"/>
      <c r="Y869" s="392"/>
    </row>
    <row r="870" ht="15.75" customHeight="1">
      <c r="W870" s="392"/>
      <c r="X870" s="392"/>
      <c r="Y870" s="392"/>
    </row>
    <row r="871" ht="15.75" customHeight="1">
      <c r="W871" s="392"/>
      <c r="X871" s="392"/>
      <c r="Y871" s="392"/>
    </row>
    <row r="872" ht="15.75" customHeight="1">
      <c r="W872" s="392"/>
      <c r="X872" s="392"/>
      <c r="Y872" s="392"/>
    </row>
    <row r="873" ht="15.75" customHeight="1">
      <c r="W873" s="392"/>
      <c r="X873" s="392"/>
      <c r="Y873" s="392"/>
    </row>
    <row r="874" ht="15.75" customHeight="1">
      <c r="W874" s="392"/>
      <c r="X874" s="392"/>
      <c r="Y874" s="392"/>
    </row>
    <row r="875" ht="15.75" customHeight="1">
      <c r="W875" s="392"/>
      <c r="X875" s="392"/>
      <c r="Y875" s="392"/>
    </row>
    <row r="876" ht="15.75" customHeight="1">
      <c r="W876" s="392"/>
      <c r="X876" s="392"/>
      <c r="Y876" s="392"/>
    </row>
    <row r="877" ht="15.75" customHeight="1">
      <c r="W877" s="392"/>
      <c r="X877" s="392"/>
      <c r="Y877" s="392"/>
    </row>
    <row r="878" ht="15.75" customHeight="1">
      <c r="W878" s="392"/>
      <c r="X878" s="392"/>
      <c r="Y878" s="392"/>
    </row>
    <row r="879" ht="15.75" customHeight="1">
      <c r="W879" s="392"/>
      <c r="X879" s="392"/>
      <c r="Y879" s="392"/>
    </row>
    <row r="880" ht="15.75" customHeight="1">
      <c r="W880" s="392"/>
      <c r="X880" s="392"/>
      <c r="Y880" s="392"/>
    </row>
    <row r="881" ht="15.75" customHeight="1">
      <c r="W881" s="392"/>
      <c r="X881" s="392"/>
      <c r="Y881" s="392"/>
    </row>
    <row r="882" ht="15.75" customHeight="1">
      <c r="W882" s="392"/>
      <c r="X882" s="392"/>
      <c r="Y882" s="392"/>
    </row>
    <row r="883" ht="15.75" customHeight="1">
      <c r="W883" s="392"/>
      <c r="X883" s="392"/>
      <c r="Y883" s="392"/>
    </row>
    <row r="884" ht="15.75" customHeight="1">
      <c r="W884" s="392"/>
      <c r="X884" s="392"/>
      <c r="Y884" s="392"/>
    </row>
    <row r="885" ht="15.75" customHeight="1">
      <c r="W885" s="392"/>
      <c r="X885" s="392"/>
      <c r="Y885" s="392"/>
    </row>
    <row r="886" ht="15.75" customHeight="1">
      <c r="W886" s="392"/>
      <c r="X886" s="392"/>
      <c r="Y886" s="392"/>
    </row>
    <row r="887" ht="15.75" customHeight="1">
      <c r="W887" s="392"/>
      <c r="X887" s="392"/>
      <c r="Y887" s="392"/>
    </row>
    <row r="888" ht="15.75" customHeight="1">
      <c r="W888" s="392"/>
      <c r="X888" s="392"/>
      <c r="Y888" s="392"/>
    </row>
    <row r="889" ht="15.75" customHeight="1">
      <c r="W889" s="392"/>
      <c r="X889" s="392"/>
      <c r="Y889" s="392"/>
    </row>
    <row r="890" ht="15.75" customHeight="1">
      <c r="W890" s="392"/>
      <c r="X890" s="392"/>
      <c r="Y890" s="392"/>
    </row>
    <row r="891" ht="15.75" customHeight="1">
      <c r="W891" s="392"/>
      <c r="X891" s="392"/>
      <c r="Y891" s="392"/>
    </row>
    <row r="892" ht="15.75" customHeight="1">
      <c r="W892" s="392"/>
      <c r="X892" s="392"/>
      <c r="Y892" s="392"/>
    </row>
    <row r="893" ht="15.75" customHeight="1">
      <c r="W893" s="392"/>
      <c r="X893" s="392"/>
      <c r="Y893" s="392"/>
    </row>
    <row r="894" ht="15.75" customHeight="1">
      <c r="W894" s="392"/>
      <c r="X894" s="392"/>
      <c r="Y894" s="392"/>
    </row>
    <row r="895" ht="15.75" customHeight="1">
      <c r="W895" s="392"/>
      <c r="X895" s="392"/>
      <c r="Y895" s="392"/>
    </row>
    <row r="896" ht="15.75" customHeight="1">
      <c r="W896" s="392"/>
      <c r="X896" s="392"/>
      <c r="Y896" s="392"/>
    </row>
    <row r="897" ht="15.75" customHeight="1">
      <c r="W897" s="392"/>
      <c r="X897" s="392"/>
      <c r="Y897" s="392"/>
    </row>
    <row r="898" ht="15.75" customHeight="1">
      <c r="W898" s="392"/>
      <c r="X898" s="392"/>
      <c r="Y898" s="392"/>
    </row>
    <row r="899" ht="15.75" customHeight="1">
      <c r="W899" s="392"/>
      <c r="X899" s="392"/>
      <c r="Y899" s="392"/>
    </row>
    <row r="900" ht="15.75" customHeight="1">
      <c r="W900" s="392"/>
      <c r="X900" s="392"/>
      <c r="Y900" s="392"/>
    </row>
    <row r="901" ht="15.75" customHeight="1">
      <c r="W901" s="392"/>
      <c r="X901" s="392"/>
      <c r="Y901" s="392"/>
    </row>
    <row r="902" ht="15.75" customHeight="1">
      <c r="W902" s="392"/>
      <c r="X902" s="392"/>
      <c r="Y902" s="392"/>
    </row>
    <row r="903" ht="15.75" customHeight="1">
      <c r="W903" s="392"/>
      <c r="X903" s="392"/>
      <c r="Y903" s="392"/>
    </row>
    <row r="904" ht="15.75" customHeight="1">
      <c r="W904" s="392"/>
      <c r="X904" s="392"/>
      <c r="Y904" s="392"/>
    </row>
    <row r="905" ht="15.75" customHeight="1">
      <c r="W905" s="392"/>
      <c r="X905" s="392"/>
      <c r="Y905" s="392"/>
    </row>
    <row r="906" ht="15.75" customHeight="1">
      <c r="W906" s="392"/>
      <c r="X906" s="392"/>
      <c r="Y906" s="392"/>
    </row>
    <row r="907" ht="15.75" customHeight="1">
      <c r="W907" s="392"/>
      <c r="X907" s="392"/>
      <c r="Y907" s="392"/>
    </row>
    <row r="908" ht="15.75" customHeight="1">
      <c r="W908" s="392"/>
      <c r="X908" s="392"/>
      <c r="Y908" s="392"/>
    </row>
    <row r="909" ht="15.75" customHeight="1">
      <c r="W909" s="392"/>
      <c r="X909" s="392"/>
      <c r="Y909" s="392"/>
    </row>
    <row r="910" ht="15.75" customHeight="1">
      <c r="W910" s="392"/>
      <c r="X910" s="392"/>
      <c r="Y910" s="392"/>
    </row>
    <row r="911" ht="15.75" customHeight="1">
      <c r="W911" s="392"/>
      <c r="X911" s="392"/>
      <c r="Y911" s="392"/>
    </row>
    <row r="912" ht="15.75" customHeight="1">
      <c r="W912" s="392"/>
      <c r="X912" s="392"/>
      <c r="Y912" s="392"/>
    </row>
    <row r="913" ht="15.75" customHeight="1">
      <c r="W913" s="392"/>
      <c r="X913" s="392"/>
      <c r="Y913" s="392"/>
    </row>
    <row r="914" ht="15.75" customHeight="1">
      <c r="W914" s="392"/>
      <c r="X914" s="392"/>
      <c r="Y914" s="392"/>
    </row>
    <row r="915" ht="15.75" customHeight="1">
      <c r="W915" s="392"/>
      <c r="X915" s="392"/>
      <c r="Y915" s="392"/>
    </row>
    <row r="916" ht="15.75" customHeight="1">
      <c r="W916" s="392"/>
      <c r="X916" s="392"/>
      <c r="Y916" s="392"/>
    </row>
    <row r="917" ht="15.75" customHeight="1">
      <c r="W917" s="392"/>
      <c r="X917" s="392"/>
      <c r="Y917" s="392"/>
    </row>
    <row r="918" ht="15.75" customHeight="1">
      <c r="W918" s="392"/>
      <c r="X918" s="392"/>
      <c r="Y918" s="392"/>
    </row>
    <row r="919" ht="15.75" customHeight="1">
      <c r="W919" s="392"/>
      <c r="X919" s="392"/>
      <c r="Y919" s="392"/>
    </row>
    <row r="920" ht="15.75" customHeight="1">
      <c r="W920" s="392"/>
      <c r="X920" s="392"/>
      <c r="Y920" s="392"/>
    </row>
    <row r="921" ht="15.75" customHeight="1">
      <c r="W921" s="392"/>
      <c r="X921" s="392"/>
      <c r="Y921" s="392"/>
    </row>
    <row r="922" ht="15.75" customHeight="1">
      <c r="W922" s="392"/>
      <c r="X922" s="392"/>
      <c r="Y922" s="392"/>
    </row>
    <row r="923" ht="15.75" customHeight="1">
      <c r="W923" s="392"/>
      <c r="X923" s="392"/>
      <c r="Y923" s="392"/>
    </row>
    <row r="924" ht="15.75" customHeight="1">
      <c r="W924" s="392"/>
      <c r="X924" s="392"/>
      <c r="Y924" s="392"/>
    </row>
    <row r="925" ht="15.75" customHeight="1">
      <c r="W925" s="392"/>
      <c r="X925" s="392"/>
      <c r="Y925" s="392"/>
    </row>
    <row r="926" ht="15.75" customHeight="1">
      <c r="W926" s="392"/>
      <c r="X926" s="392"/>
      <c r="Y926" s="392"/>
    </row>
    <row r="927" ht="15.75" customHeight="1">
      <c r="W927" s="392"/>
      <c r="X927" s="392"/>
      <c r="Y927" s="392"/>
    </row>
    <row r="928" ht="15.75" customHeight="1">
      <c r="W928" s="392"/>
      <c r="X928" s="392"/>
      <c r="Y928" s="392"/>
    </row>
    <row r="929" ht="15.75" customHeight="1">
      <c r="W929" s="392"/>
      <c r="X929" s="392"/>
      <c r="Y929" s="392"/>
    </row>
    <row r="930" ht="15.75" customHeight="1">
      <c r="W930" s="392"/>
      <c r="X930" s="392"/>
      <c r="Y930" s="392"/>
    </row>
    <row r="931" ht="15.75" customHeight="1">
      <c r="W931" s="392"/>
      <c r="X931" s="392"/>
      <c r="Y931" s="392"/>
    </row>
    <row r="932" ht="15.75" customHeight="1">
      <c r="W932" s="392"/>
      <c r="X932" s="392"/>
      <c r="Y932" s="392"/>
    </row>
    <row r="933" ht="15.75" customHeight="1">
      <c r="W933" s="392"/>
      <c r="X933" s="392"/>
      <c r="Y933" s="392"/>
    </row>
    <row r="934" ht="15.75" customHeight="1">
      <c r="W934" s="392"/>
      <c r="X934" s="392"/>
      <c r="Y934" s="392"/>
    </row>
    <row r="935" ht="15.75" customHeight="1">
      <c r="W935" s="392"/>
      <c r="X935" s="392"/>
      <c r="Y935" s="392"/>
    </row>
    <row r="936" ht="15.75" customHeight="1">
      <c r="W936" s="392"/>
      <c r="X936" s="392"/>
      <c r="Y936" s="392"/>
    </row>
    <row r="937" ht="15.75" customHeight="1">
      <c r="W937" s="392"/>
      <c r="X937" s="392"/>
      <c r="Y937" s="392"/>
    </row>
    <row r="938" ht="15.75" customHeight="1">
      <c r="W938" s="392"/>
      <c r="X938" s="392"/>
      <c r="Y938" s="392"/>
    </row>
    <row r="939" ht="15.75" customHeight="1">
      <c r="W939" s="392"/>
      <c r="X939" s="392"/>
      <c r="Y939" s="392"/>
    </row>
    <row r="940" ht="15.75" customHeight="1">
      <c r="W940" s="392"/>
      <c r="X940" s="392"/>
      <c r="Y940" s="392"/>
    </row>
    <row r="941" ht="15.75" customHeight="1">
      <c r="W941" s="392"/>
      <c r="X941" s="392"/>
      <c r="Y941" s="392"/>
    </row>
    <row r="942" ht="15.75" customHeight="1">
      <c r="W942" s="392"/>
      <c r="X942" s="392"/>
      <c r="Y942" s="392"/>
    </row>
    <row r="943" ht="15.75" customHeight="1">
      <c r="W943" s="392"/>
      <c r="X943" s="392"/>
      <c r="Y943" s="392"/>
    </row>
    <row r="944" ht="15.75" customHeight="1">
      <c r="W944" s="392"/>
      <c r="X944" s="392"/>
      <c r="Y944" s="392"/>
    </row>
    <row r="945" ht="15.75" customHeight="1">
      <c r="W945" s="392"/>
      <c r="X945" s="392"/>
      <c r="Y945" s="392"/>
    </row>
    <row r="946" ht="15.75" customHeight="1">
      <c r="W946" s="392"/>
      <c r="X946" s="392"/>
      <c r="Y946" s="392"/>
    </row>
    <row r="947" ht="15.75" customHeight="1">
      <c r="W947" s="392"/>
      <c r="X947" s="392"/>
      <c r="Y947" s="392"/>
    </row>
    <row r="948" ht="15.75" customHeight="1">
      <c r="W948" s="392"/>
      <c r="X948" s="392"/>
      <c r="Y948" s="392"/>
    </row>
    <row r="949" ht="15.75" customHeight="1">
      <c r="W949" s="392"/>
      <c r="X949" s="392"/>
      <c r="Y949" s="392"/>
    </row>
    <row r="950" ht="15.75" customHeight="1">
      <c r="W950" s="392"/>
      <c r="X950" s="392"/>
      <c r="Y950" s="392"/>
    </row>
    <row r="951" ht="15.75" customHeight="1">
      <c r="W951" s="392"/>
      <c r="X951" s="392"/>
      <c r="Y951" s="392"/>
    </row>
    <row r="952" ht="15.75" customHeight="1">
      <c r="W952" s="392"/>
      <c r="X952" s="392"/>
      <c r="Y952" s="392"/>
    </row>
    <row r="953" ht="15.75" customHeight="1">
      <c r="W953" s="392"/>
      <c r="X953" s="392"/>
      <c r="Y953" s="392"/>
    </row>
    <row r="954" ht="15.75" customHeight="1">
      <c r="W954" s="392"/>
      <c r="X954" s="392"/>
      <c r="Y954" s="392"/>
    </row>
    <row r="955" ht="15.75" customHeight="1">
      <c r="W955" s="392"/>
      <c r="X955" s="392"/>
      <c r="Y955" s="392"/>
    </row>
    <row r="956" ht="15.75" customHeight="1">
      <c r="W956" s="392"/>
      <c r="X956" s="392"/>
      <c r="Y956" s="392"/>
    </row>
    <row r="957" ht="15.75" customHeight="1">
      <c r="W957" s="392"/>
      <c r="X957" s="392"/>
      <c r="Y957" s="392"/>
    </row>
    <row r="958" ht="15.75" customHeight="1">
      <c r="W958" s="392"/>
      <c r="X958" s="392"/>
      <c r="Y958" s="392"/>
    </row>
    <row r="959" ht="15.75" customHeight="1">
      <c r="W959" s="392"/>
      <c r="X959" s="392"/>
      <c r="Y959" s="392"/>
    </row>
    <row r="960" ht="15.75" customHeight="1">
      <c r="W960" s="392"/>
      <c r="X960" s="392"/>
      <c r="Y960" s="392"/>
    </row>
    <row r="961" ht="15.75" customHeight="1">
      <c r="W961" s="392"/>
      <c r="X961" s="392"/>
      <c r="Y961" s="392"/>
    </row>
    <row r="962" ht="15.75" customHeight="1">
      <c r="W962" s="392"/>
      <c r="X962" s="392"/>
      <c r="Y962" s="392"/>
    </row>
    <row r="963" ht="15.75" customHeight="1">
      <c r="W963" s="392"/>
      <c r="X963" s="392"/>
      <c r="Y963" s="392"/>
    </row>
    <row r="964" ht="15.75" customHeight="1">
      <c r="W964" s="392"/>
      <c r="X964" s="392"/>
      <c r="Y964" s="392"/>
    </row>
    <row r="965" ht="15.75" customHeight="1">
      <c r="W965" s="392"/>
      <c r="X965" s="392"/>
      <c r="Y965" s="392"/>
    </row>
    <row r="966" ht="15.75" customHeight="1">
      <c r="W966" s="392"/>
      <c r="X966" s="392"/>
      <c r="Y966" s="392"/>
    </row>
    <row r="967" ht="15.75" customHeight="1">
      <c r="W967" s="392"/>
      <c r="X967" s="392"/>
      <c r="Y967" s="392"/>
    </row>
    <row r="968" ht="15.75" customHeight="1">
      <c r="W968" s="392"/>
      <c r="X968" s="392"/>
      <c r="Y968" s="392"/>
    </row>
    <row r="969" ht="15.75" customHeight="1">
      <c r="W969" s="392"/>
      <c r="X969" s="392"/>
      <c r="Y969" s="392"/>
    </row>
    <row r="970" ht="15.75" customHeight="1">
      <c r="W970" s="392"/>
      <c r="X970" s="392"/>
      <c r="Y970" s="392"/>
    </row>
    <row r="971" ht="15.75" customHeight="1">
      <c r="W971" s="392"/>
      <c r="X971" s="392"/>
      <c r="Y971" s="392"/>
    </row>
    <row r="972" ht="15.75" customHeight="1">
      <c r="W972" s="392"/>
      <c r="X972" s="392"/>
      <c r="Y972" s="392"/>
    </row>
    <row r="973" ht="15.75" customHeight="1">
      <c r="W973" s="392"/>
      <c r="X973" s="392"/>
      <c r="Y973" s="392"/>
    </row>
    <row r="974" ht="15.75" customHeight="1">
      <c r="W974" s="392"/>
      <c r="X974" s="392"/>
      <c r="Y974" s="392"/>
    </row>
    <row r="975" ht="15.75" customHeight="1">
      <c r="W975" s="392"/>
      <c r="X975" s="392"/>
      <c r="Y975" s="392"/>
    </row>
    <row r="976" ht="15.75" customHeight="1">
      <c r="W976" s="392"/>
      <c r="X976" s="392"/>
      <c r="Y976" s="392"/>
    </row>
    <row r="977" ht="15.75" customHeight="1">
      <c r="W977" s="392"/>
      <c r="X977" s="392"/>
      <c r="Y977" s="392"/>
    </row>
    <row r="978" ht="15.75" customHeight="1">
      <c r="W978" s="392"/>
      <c r="X978" s="392"/>
      <c r="Y978" s="392"/>
    </row>
    <row r="979" ht="15.75" customHeight="1">
      <c r="W979" s="392"/>
      <c r="X979" s="392"/>
      <c r="Y979" s="392"/>
    </row>
    <row r="980" ht="15.75" customHeight="1">
      <c r="W980" s="392"/>
      <c r="X980" s="392"/>
      <c r="Y980" s="392"/>
    </row>
    <row r="981" ht="15.75" customHeight="1">
      <c r="W981" s="392"/>
      <c r="X981" s="392"/>
      <c r="Y981" s="392"/>
    </row>
    <row r="982" ht="15.75" customHeight="1">
      <c r="W982" s="392"/>
      <c r="X982" s="392"/>
      <c r="Y982" s="392"/>
    </row>
    <row r="983" ht="15.75" customHeight="1">
      <c r="W983" s="392"/>
      <c r="X983" s="392"/>
      <c r="Y983" s="392"/>
    </row>
    <row r="984" ht="15.75" customHeight="1">
      <c r="W984" s="392"/>
      <c r="X984" s="392"/>
      <c r="Y984" s="392"/>
    </row>
    <row r="985" ht="15.75" customHeight="1">
      <c r="W985" s="392"/>
      <c r="X985" s="392"/>
      <c r="Y985" s="392"/>
    </row>
    <row r="986" ht="15.75" customHeight="1">
      <c r="W986" s="392"/>
      <c r="X986" s="392"/>
      <c r="Y986" s="392"/>
    </row>
    <row r="987" ht="15.75" customHeight="1">
      <c r="W987" s="392"/>
      <c r="X987" s="392"/>
      <c r="Y987" s="392"/>
    </row>
    <row r="988" ht="15.75" customHeight="1">
      <c r="W988" s="392"/>
      <c r="X988" s="392"/>
      <c r="Y988" s="392"/>
    </row>
    <row r="989" ht="15.75" customHeight="1">
      <c r="W989" s="392"/>
      <c r="X989" s="392"/>
      <c r="Y989" s="392"/>
    </row>
    <row r="990" ht="15.75" customHeight="1">
      <c r="W990" s="392"/>
      <c r="X990" s="392"/>
      <c r="Y990" s="392"/>
    </row>
    <row r="991" ht="15.75" customHeight="1">
      <c r="W991" s="392"/>
      <c r="X991" s="392"/>
      <c r="Y991" s="392"/>
    </row>
    <row r="992" ht="15.75" customHeight="1">
      <c r="W992" s="392"/>
      <c r="X992" s="392"/>
      <c r="Y992" s="392"/>
    </row>
    <row r="993" ht="15.75" customHeight="1">
      <c r="W993" s="392"/>
      <c r="X993" s="392"/>
      <c r="Y993" s="392"/>
    </row>
    <row r="994" ht="15.75" customHeight="1">
      <c r="W994" s="392"/>
      <c r="X994" s="392"/>
      <c r="Y994" s="392"/>
    </row>
    <row r="995" ht="15.75" customHeight="1">
      <c r="W995" s="392"/>
      <c r="X995" s="392"/>
      <c r="Y995" s="392"/>
    </row>
    <row r="996" ht="15.75" customHeight="1">
      <c r="W996" s="392"/>
      <c r="X996" s="392"/>
      <c r="Y996" s="392"/>
    </row>
    <row r="997" ht="15.75" customHeight="1">
      <c r="W997" s="392"/>
      <c r="X997" s="392"/>
      <c r="Y997" s="392"/>
    </row>
    <row r="998" ht="15.75" customHeight="1">
      <c r="W998" s="392"/>
      <c r="X998" s="392"/>
      <c r="Y998" s="392"/>
    </row>
    <row r="999" ht="15.75" customHeight="1">
      <c r="W999" s="392"/>
      <c r="X999" s="392"/>
      <c r="Y999" s="392"/>
    </row>
    <row r="1000" ht="15.75" customHeight="1">
      <c r="W1000" s="392"/>
      <c r="X1000" s="392"/>
      <c r="Y1000" s="392"/>
    </row>
  </sheetData>
  <autoFilter ref="$B$5:$V$71"/>
  <customSheetViews>
    <customSheetView guid="{51569149-E141-4BAE-8E4C-36F8378668C1}" filter="1" showAutoFilter="1">
      <autoFilter ref="$Y$15:$Y$26"/>
    </customSheetView>
  </customSheetViews>
  <mergeCells count="15">
    <mergeCell ref="W4:W5"/>
    <mergeCell ref="X4:X5"/>
    <mergeCell ref="A76:M76"/>
    <mergeCell ref="A77:M77"/>
    <mergeCell ref="A78:M78"/>
    <mergeCell ref="A80:M80"/>
    <mergeCell ref="A81:M81"/>
    <mergeCell ref="A82:M82"/>
    <mergeCell ref="A1:L3"/>
    <mergeCell ref="A4:C4"/>
    <mergeCell ref="D4:E4"/>
    <mergeCell ref="F4:H4"/>
    <mergeCell ref="Q4:R4"/>
    <mergeCell ref="S4:T4"/>
    <mergeCell ref="U4:V4"/>
  </mergeCells>
  <conditionalFormatting sqref="D6:D71">
    <cfRule type="expression" dxfId="1" priority="1">
      <formula>countif(D:D,D6)&gt;1</formula>
    </cfRule>
  </conditionalFormatting>
  <dataValidations>
    <dataValidation type="list" allowBlank="1" showErrorMessage="1" sqref="C6:C71">
      <formula1>periodestamp</formula1>
    </dataValidation>
    <dataValidation type="list" allowBlank="1" showErrorMessage="1" sqref="J6:J71">
      <formula1>jnsolehan</formula1>
    </dataValidation>
    <dataValidation type="list" allowBlank="1" showErrorMessage="1" sqref="K6:K71">
      <formula1>jdn</formula1>
    </dataValidation>
    <dataValidation type="list" allowBlank="1" showInputMessage="1" showErrorMessage="1" prompt=" - " sqref="M6:M71">
      <formula1>outputdana</formula1>
    </dataValidation>
    <dataValidation type="custom" allowBlank="1" showDropDown="1" sqref="Q6:Q71">
      <formula1>countif($Q$6:$Q1043,Q6)=1</formula1>
    </dataValidation>
    <dataValidation type="custom" allowBlank="1" showDropDown="1" sqref="R6:R71 T6:T71">
      <formula1>OR(NOT(ISERROR(DATEVALUE(R6))), AND(ISNUMBER(R6), LEFT(CELL("format", R6))="D"))</formula1>
    </dataValidation>
    <dataValidation type="list" allowBlank="1" showErrorMessage="1" sqref="E6:E71">
      <formula1>kelris</formula1>
    </dataValidation>
    <dataValidation type="list" allowBlank="1" showErrorMessage="1" sqref="F6:H71">
      <formula1>nmperiset</formula1>
    </dataValidation>
    <dataValidation type="custom" allowBlank="1" showDropDown="1" showInputMessage="1" prompt="Duplikasi!! judul yang anda masukkan sudah terdapat pada list sebelumnya" sqref="D15:D71">
      <formula1>countif($D$6:$D1052,D15)=1</formula1>
    </dataValidation>
    <dataValidation type="list" allowBlank="1" showErrorMessage="1" sqref="V6:V71">
      <formula1>stsupload</formula1>
    </dataValidation>
    <dataValidation type="list" allowBlank="1" showInputMessage="1" showErrorMessage="1" prompt=" - " sqref="L6:L71">
      <formula1>smbrdana</formula1>
    </dataValidation>
  </dataValidations>
  <hyperlinks>
    <hyperlink r:id="rId1" ref="U6"/>
    <hyperlink r:id="rId2" ref="F7"/>
    <hyperlink r:id="rId3" ref="U7"/>
    <hyperlink r:id="rId4" ref="U8"/>
    <hyperlink r:id="rId5" ref="U9"/>
    <hyperlink r:id="rId6" ref="U10"/>
    <hyperlink r:id="rId7" ref="U11"/>
    <hyperlink r:id="rId8" ref="U12"/>
    <hyperlink r:id="rId9" ref="U13"/>
    <hyperlink r:id="rId10" ref="U14"/>
    <hyperlink r:id="rId11" ref="U15"/>
    <hyperlink r:id="rId12" ref="U16"/>
    <hyperlink r:id="rId13" ref="U17"/>
    <hyperlink r:id="rId14" ref="U18"/>
    <hyperlink r:id="rId15" ref="Y18"/>
    <hyperlink r:id="rId16" ref="U19"/>
    <hyperlink r:id="rId17" ref="U20"/>
    <hyperlink r:id="rId18" ref="Y20"/>
    <hyperlink r:id="rId19" ref="U21"/>
    <hyperlink r:id="rId20" ref="U22"/>
    <hyperlink r:id="rId21" ref="U23"/>
    <hyperlink r:id="rId22" ref="U24"/>
    <hyperlink r:id="rId23" ref="U25"/>
    <hyperlink r:id="rId24" ref="U26"/>
    <hyperlink r:id="rId25" ref="X26"/>
    <hyperlink r:id="rId26" ref="H27"/>
    <hyperlink r:id="rId27" ref="U27"/>
    <hyperlink r:id="rId28" ref="X27"/>
    <hyperlink r:id="rId29" ref="U28"/>
    <hyperlink r:id="rId30" ref="X28"/>
    <hyperlink r:id="rId31" ref="U29"/>
    <hyperlink r:id="rId32" ref="X29"/>
    <hyperlink r:id="rId33" ref="U30"/>
    <hyperlink r:id="rId34" ref="X30"/>
    <hyperlink r:id="rId35" ref="U31"/>
    <hyperlink r:id="rId36" ref="X31"/>
    <hyperlink r:id="rId37" ref="U32"/>
    <hyperlink r:id="rId38" ref="U33"/>
    <hyperlink r:id="rId39" ref="U34"/>
    <hyperlink r:id="rId40" ref="U35"/>
    <hyperlink r:id="rId41" ref="U36"/>
    <hyperlink r:id="rId42" ref="U37"/>
    <hyperlink r:id="rId43" ref="U38"/>
    <hyperlink r:id="rId44" ref="U39"/>
    <hyperlink r:id="rId45" ref="U40"/>
    <hyperlink r:id="rId46" ref="U41"/>
    <hyperlink r:id="rId47" ref="U42"/>
    <hyperlink r:id="rId48" ref="U43"/>
    <hyperlink r:id="rId49" ref="U44"/>
    <hyperlink r:id="rId50" ref="U45"/>
    <hyperlink r:id="rId51" ref="U46"/>
    <hyperlink r:id="rId52" ref="U47"/>
    <hyperlink r:id="rId53" ref="U48"/>
    <hyperlink r:id="rId54" ref="U49"/>
    <hyperlink r:id="rId55" ref="U50"/>
    <hyperlink r:id="rId56" ref="U51"/>
    <hyperlink r:id="rId57" ref="U52"/>
    <hyperlink r:id="rId58" ref="U53"/>
    <hyperlink r:id="rId59" ref="U54"/>
    <hyperlink r:id="rId60" ref="U55"/>
    <hyperlink r:id="rId61" ref="U56"/>
    <hyperlink r:id="rId62" ref="U57"/>
    <hyperlink r:id="rId63" ref="U58"/>
    <hyperlink r:id="rId64" ref="U59"/>
    <hyperlink r:id="rId65" ref="U60"/>
    <hyperlink r:id="rId66" ref="U61"/>
    <hyperlink r:id="rId67" ref="U62"/>
    <hyperlink r:id="rId68" ref="U63"/>
    <hyperlink r:id="rId69" ref="U64"/>
    <hyperlink r:id="rId70" ref="U65"/>
    <hyperlink r:id="rId71" ref="U66"/>
    <hyperlink r:id="rId72" ref="U67"/>
    <hyperlink r:id="rId73" ref="U68"/>
    <hyperlink r:id="rId74" ref="U69"/>
    <hyperlink r:id="rId75" ref="U70"/>
    <hyperlink r:id="rId76" ref="U71"/>
  </hyperlinks>
  <printOptions/>
  <pageMargins bottom="0.75" footer="0.0" header="0.0" left="0.7" right="0.7" top="0.75"/>
  <pageSetup orientation="landscape"/>
  <drawing r:id="rId7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1.22" defaultRowHeight="15.0"/>
  <cols>
    <col customWidth="1" min="1" max="1" width="4.11"/>
    <col customWidth="1" min="2" max="2" width="12.67"/>
    <col customWidth="1" min="3" max="3" width="12.11"/>
    <col customWidth="1" min="4" max="4" width="24.67"/>
    <col customWidth="1" min="5" max="5" width="22.89"/>
    <col customWidth="1" min="6" max="6" width="25.67"/>
    <col customWidth="1" min="7" max="7" width="16.56"/>
    <col customWidth="1" min="8" max="8" width="12.11"/>
    <col customWidth="1" min="9" max="9" width="8.56"/>
    <col customWidth="1" min="10" max="10" width="19.89"/>
    <col customWidth="1" min="11" max="16" width="23.67"/>
    <col customWidth="1" min="17" max="17" width="12.67"/>
    <col customWidth="1" min="18" max="18" width="11.11"/>
    <col customWidth="1" min="19" max="19" width="10.89"/>
    <col customWidth="1" min="20" max="20" width="45.0"/>
    <col customWidth="1" min="21" max="24" width="6.22"/>
  </cols>
  <sheetData>
    <row r="1">
      <c r="A1" s="333" t="s">
        <v>743</v>
      </c>
      <c r="U1" s="454"/>
      <c r="V1" s="454"/>
      <c r="W1" s="454"/>
      <c r="X1" s="454"/>
    </row>
    <row r="2">
      <c r="U2" s="454"/>
      <c r="V2" s="454"/>
      <c r="W2" s="454"/>
      <c r="X2" s="454"/>
    </row>
    <row r="3">
      <c r="U3" s="454"/>
      <c r="V3" s="454"/>
      <c r="W3" s="454"/>
      <c r="X3" s="454"/>
    </row>
    <row r="4" ht="15.75" customHeight="1">
      <c r="A4" s="211" t="s">
        <v>1</v>
      </c>
      <c r="B4" s="3"/>
      <c r="C4" s="4"/>
      <c r="D4" s="455" t="s">
        <v>744</v>
      </c>
      <c r="E4" s="6"/>
      <c r="F4" s="456"/>
      <c r="G4" s="457"/>
      <c r="H4" s="458"/>
      <c r="I4" s="459" t="s">
        <v>598</v>
      </c>
      <c r="J4" s="9"/>
      <c r="K4" s="459" t="s">
        <v>0</v>
      </c>
      <c r="L4" s="8"/>
      <c r="M4" s="9"/>
      <c r="P4" s="460"/>
      <c r="R4" s="461"/>
    </row>
    <row r="5">
      <c r="A5" s="462" t="s">
        <v>5</v>
      </c>
      <c r="B5" s="463" t="s">
        <v>6</v>
      </c>
      <c r="C5" s="464" t="s">
        <v>7</v>
      </c>
      <c r="D5" s="465" t="s">
        <v>745</v>
      </c>
      <c r="E5" s="465" t="s">
        <v>746</v>
      </c>
      <c r="F5" s="346" t="s">
        <v>10</v>
      </c>
      <c r="G5" s="346" t="s">
        <v>13</v>
      </c>
      <c r="H5" s="346" t="s">
        <v>12</v>
      </c>
      <c r="I5" s="346" t="s">
        <v>747</v>
      </c>
      <c r="J5" s="346" t="s">
        <v>748</v>
      </c>
      <c r="K5" s="346">
        <v>1.0</v>
      </c>
      <c r="L5" s="346">
        <v>2.0</v>
      </c>
      <c r="M5" s="346">
        <v>3.0</v>
      </c>
      <c r="N5" s="346" t="s">
        <v>466</v>
      </c>
      <c r="O5" s="346" t="s">
        <v>749</v>
      </c>
      <c r="P5" s="346" t="s">
        <v>601</v>
      </c>
      <c r="Q5" s="466" t="s">
        <v>750</v>
      </c>
      <c r="R5" s="467" t="s">
        <v>473</v>
      </c>
      <c r="S5" s="468" t="s">
        <v>751</v>
      </c>
      <c r="T5" s="469" t="s">
        <v>20</v>
      </c>
    </row>
    <row r="6">
      <c r="A6" s="470">
        <v>1.0</v>
      </c>
      <c r="B6" s="351">
        <f t="shared" ref="B6:B31" si="1">IF(OR(D6&lt;&gt;"", E6&lt;&gt;""), IF(B6="", NOW(), B6), "")
</f>
        <v>45495.58762</v>
      </c>
      <c r="C6" s="471" t="s">
        <v>206</v>
      </c>
      <c r="D6" s="472"/>
      <c r="E6" s="473" t="s">
        <v>752</v>
      </c>
      <c r="F6" s="474" t="s">
        <v>23</v>
      </c>
      <c r="G6" s="474" t="s">
        <v>753</v>
      </c>
      <c r="H6" s="475" t="s">
        <v>604</v>
      </c>
      <c r="I6" s="476">
        <v>1.0</v>
      </c>
      <c r="J6" s="477" t="s">
        <v>754</v>
      </c>
      <c r="K6" s="478"/>
      <c r="L6" s="479"/>
      <c r="M6" s="479"/>
      <c r="N6" s="479"/>
      <c r="O6" s="479"/>
      <c r="P6" s="480" t="s">
        <v>755</v>
      </c>
      <c r="Q6" s="433" t="s">
        <v>756</v>
      </c>
      <c r="R6" s="481" t="s">
        <v>481</v>
      </c>
      <c r="S6" s="482" t="s">
        <v>757</v>
      </c>
      <c r="T6" s="483" t="s">
        <v>758</v>
      </c>
    </row>
    <row r="7">
      <c r="A7" s="484">
        <v>2.0</v>
      </c>
      <c r="B7" s="351">
        <f t="shared" si="1"/>
        <v>45495.5877</v>
      </c>
      <c r="C7" s="485" t="s">
        <v>206</v>
      </c>
      <c r="D7" s="486" t="s">
        <v>68</v>
      </c>
      <c r="E7" s="487"/>
      <c r="F7" s="488" t="s">
        <v>23</v>
      </c>
      <c r="G7" s="488" t="s">
        <v>759</v>
      </c>
      <c r="H7" s="475" t="s">
        <v>657</v>
      </c>
      <c r="I7" s="476">
        <v>1.0</v>
      </c>
      <c r="J7" s="315"/>
      <c r="K7" s="489"/>
      <c r="L7" s="489"/>
      <c r="M7" s="489"/>
      <c r="N7" s="489"/>
      <c r="O7" s="489"/>
      <c r="P7" s="480" t="s">
        <v>755</v>
      </c>
      <c r="Q7" s="433" t="s">
        <v>756</v>
      </c>
      <c r="R7" s="490" t="s">
        <v>481</v>
      </c>
      <c r="S7" s="491" t="s">
        <v>760</v>
      </c>
      <c r="T7" s="437"/>
    </row>
    <row r="8">
      <c r="A8" s="470">
        <v>3.0</v>
      </c>
      <c r="B8" s="351">
        <f t="shared" si="1"/>
        <v>45495.58797</v>
      </c>
      <c r="C8" s="492"/>
      <c r="D8" s="493" t="s">
        <v>53</v>
      </c>
      <c r="E8" s="494"/>
      <c r="F8" s="495" t="s">
        <v>58</v>
      </c>
      <c r="G8" s="495" t="s">
        <v>753</v>
      </c>
      <c r="H8" s="496"/>
      <c r="I8" s="497">
        <v>1.0</v>
      </c>
      <c r="J8" s="318"/>
      <c r="K8" s="498"/>
      <c r="L8" s="498"/>
      <c r="M8" s="498"/>
      <c r="N8" s="498"/>
      <c r="O8" s="498"/>
      <c r="P8" s="499" t="s">
        <v>761</v>
      </c>
      <c r="Q8" s="433" t="s">
        <v>756</v>
      </c>
      <c r="R8" s="500"/>
      <c r="S8" s="501"/>
      <c r="T8" s="437"/>
    </row>
    <row r="9">
      <c r="A9" s="484">
        <v>4.0</v>
      </c>
      <c r="B9" s="351">
        <f t="shared" si="1"/>
        <v>45495.58812</v>
      </c>
      <c r="C9" s="485" t="s">
        <v>206</v>
      </c>
      <c r="D9" s="495"/>
      <c r="E9" s="502" t="s">
        <v>762</v>
      </c>
      <c r="F9" s="495" t="s">
        <v>34</v>
      </c>
      <c r="G9" s="495" t="s">
        <v>759</v>
      </c>
      <c r="H9" s="475" t="s">
        <v>657</v>
      </c>
      <c r="I9" s="497">
        <v>1.0</v>
      </c>
      <c r="J9" s="503" t="s">
        <v>754</v>
      </c>
      <c r="K9" s="498"/>
      <c r="L9" s="498"/>
      <c r="M9" s="498"/>
      <c r="N9" s="498"/>
      <c r="O9" s="498"/>
      <c r="P9" s="480" t="s">
        <v>755</v>
      </c>
      <c r="Q9" s="433" t="s">
        <v>756</v>
      </c>
      <c r="R9" s="490" t="s">
        <v>481</v>
      </c>
      <c r="S9" s="504" t="s">
        <v>763</v>
      </c>
      <c r="T9" s="505" t="s">
        <v>764</v>
      </c>
    </row>
    <row r="10">
      <c r="A10" s="470">
        <v>5.0</v>
      </c>
      <c r="B10" s="351">
        <f t="shared" si="1"/>
        <v>45495.5893</v>
      </c>
      <c r="C10" s="492"/>
      <c r="D10" s="495" t="s">
        <v>393</v>
      </c>
      <c r="E10" s="506" t="s">
        <v>765</v>
      </c>
      <c r="F10" s="495" t="s">
        <v>108</v>
      </c>
      <c r="G10" s="495" t="s">
        <v>759</v>
      </c>
      <c r="H10" s="496"/>
      <c r="I10" s="507">
        <v>1.0</v>
      </c>
      <c r="J10" s="318"/>
      <c r="K10" s="508"/>
      <c r="L10" s="508"/>
      <c r="M10" s="508"/>
      <c r="N10" s="508"/>
      <c r="O10" s="508"/>
      <c r="P10" s="499" t="s">
        <v>761</v>
      </c>
      <c r="Q10" s="433" t="s">
        <v>756</v>
      </c>
      <c r="R10" s="500"/>
      <c r="S10" s="509"/>
      <c r="T10" s="505" t="s">
        <v>766</v>
      </c>
    </row>
    <row r="11">
      <c r="A11" s="484">
        <v>6.0</v>
      </c>
      <c r="B11" s="351">
        <f t="shared" si="1"/>
        <v>45495.58953</v>
      </c>
      <c r="C11" s="492"/>
      <c r="D11" s="495" t="s">
        <v>299</v>
      </c>
      <c r="E11" s="506" t="s">
        <v>767</v>
      </c>
      <c r="F11" s="495" t="s">
        <v>46</v>
      </c>
      <c r="G11" s="495" t="s">
        <v>759</v>
      </c>
      <c r="H11" s="496"/>
      <c r="I11" s="507">
        <v>1.0</v>
      </c>
      <c r="J11" s="318"/>
      <c r="K11" s="508"/>
      <c r="L11" s="508"/>
      <c r="M11" s="508"/>
      <c r="N11" s="508"/>
      <c r="O11" s="508"/>
      <c r="P11" s="499" t="s">
        <v>761</v>
      </c>
      <c r="Q11" s="433" t="s">
        <v>756</v>
      </c>
      <c r="R11" s="500"/>
      <c r="S11" s="501"/>
      <c r="T11" s="437"/>
    </row>
    <row r="12">
      <c r="A12" s="470">
        <v>7.0</v>
      </c>
      <c r="B12" s="351" t="str">
        <f t="shared" si="1"/>
        <v/>
      </c>
      <c r="C12" s="492"/>
      <c r="D12" s="510"/>
      <c r="E12" s="511"/>
      <c r="F12" s="510"/>
      <c r="G12" s="510"/>
      <c r="H12" s="496"/>
      <c r="I12" s="507"/>
      <c r="J12" s="318"/>
      <c r="K12" s="508"/>
      <c r="L12" s="508"/>
      <c r="M12" s="508"/>
      <c r="N12" s="508"/>
      <c r="O12" s="508"/>
      <c r="P12" s="512"/>
      <c r="Q12" s="433" t="s">
        <v>756</v>
      </c>
      <c r="R12" s="500"/>
      <c r="S12" s="501"/>
      <c r="T12" s="437"/>
    </row>
    <row r="13">
      <c r="A13" s="484">
        <v>8.0</v>
      </c>
      <c r="B13" s="351" t="str">
        <f t="shared" si="1"/>
        <v/>
      </c>
      <c r="C13" s="513"/>
      <c r="D13" s="510"/>
      <c r="E13" s="511"/>
      <c r="F13" s="510"/>
      <c r="G13" s="510"/>
      <c r="H13" s="496"/>
      <c r="I13" s="514"/>
      <c r="J13" s="318"/>
      <c r="K13" s="508"/>
      <c r="L13" s="508"/>
      <c r="M13" s="508"/>
      <c r="N13" s="508"/>
      <c r="O13" s="508"/>
      <c r="P13" s="512"/>
      <c r="Q13" s="433" t="s">
        <v>756</v>
      </c>
      <c r="R13" s="500"/>
      <c r="S13" s="501"/>
      <c r="T13" s="437"/>
    </row>
    <row r="14">
      <c r="A14" s="470">
        <v>9.0</v>
      </c>
      <c r="B14" s="351" t="str">
        <f t="shared" si="1"/>
        <v/>
      </c>
      <c r="C14" s="513"/>
      <c r="D14" s="510"/>
      <c r="E14" s="511"/>
      <c r="F14" s="510"/>
      <c r="G14" s="510"/>
      <c r="H14" s="496"/>
      <c r="I14" s="514"/>
      <c r="J14" s="318"/>
      <c r="K14" s="508"/>
      <c r="L14" s="508"/>
      <c r="M14" s="508"/>
      <c r="N14" s="508"/>
      <c r="O14" s="508"/>
      <c r="P14" s="512"/>
      <c r="Q14" s="433" t="s">
        <v>756</v>
      </c>
      <c r="R14" s="500"/>
      <c r="S14" s="501"/>
      <c r="T14" s="437"/>
    </row>
    <row r="15">
      <c r="A15" s="484">
        <v>10.0</v>
      </c>
      <c r="B15" s="351" t="str">
        <f t="shared" si="1"/>
        <v/>
      </c>
      <c r="C15" s="513"/>
      <c r="D15" s="510"/>
      <c r="E15" s="506"/>
      <c r="F15" s="510"/>
      <c r="G15" s="510"/>
      <c r="H15" s="496"/>
      <c r="I15" s="514"/>
      <c r="J15" s="318"/>
      <c r="K15" s="508"/>
      <c r="L15" s="508"/>
      <c r="M15" s="508"/>
      <c r="N15" s="508"/>
      <c r="O15" s="508"/>
      <c r="P15" s="512"/>
      <c r="Q15" s="433" t="s">
        <v>756</v>
      </c>
      <c r="R15" s="500"/>
      <c r="S15" s="501"/>
      <c r="T15" s="437"/>
    </row>
    <row r="16">
      <c r="A16" s="470">
        <v>11.0</v>
      </c>
      <c r="B16" s="351" t="str">
        <f t="shared" si="1"/>
        <v/>
      </c>
      <c r="C16" s="513"/>
      <c r="D16" s="510"/>
      <c r="E16" s="511"/>
      <c r="F16" s="510"/>
      <c r="G16" s="510"/>
      <c r="H16" s="496"/>
      <c r="I16" s="514"/>
      <c r="J16" s="318"/>
      <c r="K16" s="508"/>
      <c r="L16" s="508"/>
      <c r="M16" s="508"/>
      <c r="N16" s="508"/>
      <c r="O16" s="508"/>
      <c r="P16" s="512"/>
      <c r="Q16" s="433" t="s">
        <v>756</v>
      </c>
      <c r="R16" s="500"/>
      <c r="S16" s="501"/>
      <c r="T16" s="437"/>
    </row>
    <row r="17">
      <c r="A17" s="484">
        <v>12.0</v>
      </c>
      <c r="B17" s="351" t="str">
        <f t="shared" si="1"/>
        <v/>
      </c>
      <c r="C17" s="513"/>
      <c r="D17" s="510"/>
      <c r="E17" s="511"/>
      <c r="F17" s="510"/>
      <c r="G17" s="510"/>
      <c r="H17" s="496"/>
      <c r="I17" s="514"/>
      <c r="J17" s="318"/>
      <c r="K17" s="508"/>
      <c r="L17" s="508"/>
      <c r="M17" s="508"/>
      <c r="N17" s="508"/>
      <c r="O17" s="508"/>
      <c r="P17" s="512"/>
      <c r="Q17" s="433" t="s">
        <v>756</v>
      </c>
      <c r="R17" s="500"/>
      <c r="S17" s="501"/>
      <c r="T17" s="437"/>
    </row>
    <row r="18">
      <c r="A18" s="470">
        <v>13.0</v>
      </c>
      <c r="B18" s="351" t="str">
        <f t="shared" si="1"/>
        <v/>
      </c>
      <c r="C18" s="513"/>
      <c r="D18" s="510"/>
      <c r="E18" s="511"/>
      <c r="F18" s="510"/>
      <c r="G18" s="510"/>
      <c r="H18" s="496"/>
      <c r="I18" s="514"/>
      <c r="J18" s="318"/>
      <c r="K18" s="508"/>
      <c r="L18" s="508"/>
      <c r="M18" s="508"/>
      <c r="N18" s="508"/>
      <c r="O18" s="508"/>
      <c r="P18" s="512"/>
      <c r="Q18" s="433" t="s">
        <v>756</v>
      </c>
      <c r="R18" s="500"/>
      <c r="S18" s="501"/>
      <c r="T18" s="437"/>
    </row>
    <row r="19">
      <c r="A19" s="484">
        <v>14.0</v>
      </c>
      <c r="B19" s="351" t="str">
        <f t="shared" si="1"/>
        <v/>
      </c>
      <c r="C19" s="513"/>
      <c r="D19" s="515"/>
      <c r="E19" s="511"/>
      <c r="F19" s="510"/>
      <c r="G19" s="510"/>
      <c r="H19" s="496"/>
      <c r="I19" s="514"/>
      <c r="J19" s="318"/>
      <c r="K19" s="508"/>
      <c r="L19" s="508"/>
      <c r="M19" s="508"/>
      <c r="N19" s="508"/>
      <c r="O19" s="508"/>
      <c r="P19" s="512"/>
      <c r="Q19" s="433" t="s">
        <v>756</v>
      </c>
      <c r="R19" s="500"/>
      <c r="S19" s="516"/>
      <c r="T19" s="517"/>
    </row>
    <row r="20">
      <c r="A20" s="470">
        <v>15.0</v>
      </c>
      <c r="B20" s="351" t="str">
        <f t="shared" si="1"/>
        <v/>
      </c>
      <c r="C20" s="513"/>
      <c r="D20" s="515"/>
      <c r="E20" s="511"/>
      <c r="F20" s="510"/>
      <c r="G20" s="510"/>
      <c r="H20" s="496"/>
      <c r="I20" s="514"/>
      <c r="J20" s="318"/>
      <c r="K20" s="508"/>
      <c r="L20" s="508"/>
      <c r="M20" s="508"/>
      <c r="N20" s="508"/>
      <c r="O20" s="508"/>
      <c r="P20" s="512"/>
      <c r="Q20" s="433" t="s">
        <v>756</v>
      </c>
      <c r="R20" s="500"/>
      <c r="S20" s="518"/>
      <c r="T20" s="519"/>
    </row>
    <row r="21" ht="15.75" customHeight="1">
      <c r="A21" s="484">
        <v>16.0</v>
      </c>
      <c r="B21" s="351" t="str">
        <f t="shared" si="1"/>
        <v/>
      </c>
      <c r="C21" s="513"/>
      <c r="D21" s="515"/>
      <c r="E21" s="511"/>
      <c r="F21" s="510"/>
      <c r="G21" s="510"/>
      <c r="H21" s="496"/>
      <c r="I21" s="514"/>
      <c r="J21" s="318"/>
      <c r="K21" s="520"/>
      <c r="L21" s="520"/>
      <c r="M21" s="520"/>
      <c r="N21" s="520"/>
      <c r="O21" s="520"/>
      <c r="P21" s="521"/>
      <c r="Q21" s="433" t="s">
        <v>756</v>
      </c>
      <c r="R21" s="500"/>
      <c r="S21" s="518"/>
      <c r="T21" s="519"/>
    </row>
    <row r="22" ht="15.75" customHeight="1">
      <c r="A22" s="470">
        <v>17.0</v>
      </c>
      <c r="B22" s="351" t="str">
        <f t="shared" si="1"/>
        <v/>
      </c>
      <c r="C22" s="513"/>
      <c r="D22" s="515"/>
      <c r="E22" s="511"/>
      <c r="F22" s="510"/>
      <c r="G22" s="510"/>
      <c r="H22" s="496"/>
      <c r="I22" s="514"/>
      <c r="J22" s="318"/>
      <c r="K22" s="522"/>
      <c r="L22" s="522"/>
      <c r="M22" s="522"/>
      <c r="N22" s="522"/>
      <c r="O22" s="522"/>
      <c r="P22" s="523"/>
      <c r="Q22" s="433" t="s">
        <v>756</v>
      </c>
      <c r="R22" s="500"/>
      <c r="S22" s="518"/>
      <c r="T22" s="519"/>
    </row>
    <row r="23" ht="15.75" customHeight="1">
      <c r="A23" s="484">
        <v>18.0</v>
      </c>
      <c r="B23" s="351" t="str">
        <f t="shared" si="1"/>
        <v/>
      </c>
      <c r="C23" s="513"/>
      <c r="D23" s="510"/>
      <c r="E23" s="511"/>
      <c r="F23" s="510"/>
      <c r="G23" s="510"/>
      <c r="H23" s="496"/>
      <c r="I23" s="514"/>
      <c r="J23" s="318"/>
      <c r="K23" s="508"/>
      <c r="L23" s="508"/>
      <c r="M23" s="508"/>
      <c r="N23" s="508"/>
      <c r="O23" s="508"/>
      <c r="P23" s="512"/>
      <c r="Q23" s="433" t="s">
        <v>756</v>
      </c>
      <c r="R23" s="500"/>
      <c r="S23" s="518"/>
      <c r="T23" s="519"/>
    </row>
    <row r="24" ht="15.75" customHeight="1">
      <c r="A24" s="470">
        <v>19.0</v>
      </c>
      <c r="B24" s="351" t="str">
        <f t="shared" si="1"/>
        <v/>
      </c>
      <c r="C24" s="513"/>
      <c r="D24" s="510"/>
      <c r="E24" s="511"/>
      <c r="F24" s="510"/>
      <c r="G24" s="510"/>
      <c r="H24" s="496"/>
      <c r="I24" s="514"/>
      <c r="J24" s="318"/>
      <c r="K24" s="522"/>
      <c r="L24" s="522"/>
      <c r="M24" s="522"/>
      <c r="N24" s="522"/>
      <c r="O24" s="522"/>
      <c r="P24" s="523"/>
      <c r="Q24" s="433" t="s">
        <v>756</v>
      </c>
      <c r="R24" s="500"/>
      <c r="S24" s="518"/>
      <c r="T24" s="519"/>
    </row>
    <row r="25" ht="15.75" customHeight="1">
      <c r="A25" s="484">
        <v>20.0</v>
      </c>
      <c r="B25" s="351" t="str">
        <f t="shared" si="1"/>
        <v/>
      </c>
      <c r="C25" s="513"/>
      <c r="D25" s="510"/>
      <c r="E25" s="511"/>
      <c r="F25" s="510"/>
      <c r="G25" s="510"/>
      <c r="H25" s="496"/>
      <c r="I25" s="514"/>
      <c r="J25" s="318"/>
      <c r="K25" s="508"/>
      <c r="L25" s="508"/>
      <c r="M25" s="508"/>
      <c r="N25" s="508"/>
      <c r="O25" s="508"/>
      <c r="P25" s="512"/>
      <c r="Q25" s="433" t="s">
        <v>756</v>
      </c>
      <c r="R25" s="500"/>
      <c r="S25" s="518"/>
      <c r="T25" s="519"/>
    </row>
    <row r="26" ht="15.75" customHeight="1">
      <c r="A26" s="470">
        <v>21.0</v>
      </c>
      <c r="B26" s="351" t="str">
        <f t="shared" si="1"/>
        <v/>
      </c>
      <c r="C26" s="513"/>
      <c r="D26" s="510"/>
      <c r="E26" s="511"/>
      <c r="F26" s="510"/>
      <c r="G26" s="510"/>
      <c r="H26" s="496"/>
      <c r="I26" s="514"/>
      <c r="J26" s="318"/>
      <c r="K26" s="508"/>
      <c r="L26" s="508"/>
      <c r="M26" s="508"/>
      <c r="N26" s="508"/>
      <c r="O26" s="508"/>
      <c r="P26" s="512"/>
      <c r="Q26" s="433" t="s">
        <v>756</v>
      </c>
      <c r="R26" s="500"/>
      <c r="S26" s="518"/>
      <c r="T26" s="519"/>
    </row>
    <row r="27" ht="15.75" customHeight="1">
      <c r="A27" s="484">
        <v>22.0</v>
      </c>
      <c r="B27" s="351" t="str">
        <f t="shared" si="1"/>
        <v/>
      </c>
      <c r="C27" s="513"/>
      <c r="D27" s="510"/>
      <c r="E27" s="511"/>
      <c r="F27" s="510"/>
      <c r="G27" s="510"/>
      <c r="H27" s="496"/>
      <c r="I27" s="514"/>
      <c r="J27" s="318"/>
      <c r="K27" s="508"/>
      <c r="L27" s="508"/>
      <c r="M27" s="508"/>
      <c r="N27" s="508"/>
      <c r="O27" s="508"/>
      <c r="P27" s="512"/>
      <c r="Q27" s="433" t="s">
        <v>756</v>
      </c>
      <c r="R27" s="500"/>
      <c r="S27" s="518"/>
      <c r="T27" s="519"/>
    </row>
    <row r="28" ht="15.75" customHeight="1">
      <c r="A28" s="470">
        <v>23.0</v>
      </c>
      <c r="B28" s="351" t="str">
        <f t="shared" si="1"/>
        <v/>
      </c>
      <c r="C28" s="513"/>
      <c r="D28" s="510"/>
      <c r="E28" s="511"/>
      <c r="F28" s="510"/>
      <c r="G28" s="510"/>
      <c r="H28" s="496"/>
      <c r="I28" s="514"/>
      <c r="J28" s="318"/>
      <c r="K28" s="508"/>
      <c r="L28" s="508"/>
      <c r="M28" s="508"/>
      <c r="N28" s="508"/>
      <c r="O28" s="508"/>
      <c r="P28" s="512"/>
      <c r="Q28" s="433" t="s">
        <v>756</v>
      </c>
      <c r="R28" s="500"/>
      <c r="S28" s="518"/>
      <c r="T28" s="519"/>
    </row>
    <row r="29" ht="15.75" customHeight="1">
      <c r="A29" s="484">
        <v>24.0</v>
      </c>
      <c r="B29" s="351" t="str">
        <f t="shared" si="1"/>
        <v/>
      </c>
      <c r="C29" s="513"/>
      <c r="D29" s="510"/>
      <c r="E29" s="511"/>
      <c r="F29" s="510"/>
      <c r="G29" s="510"/>
      <c r="H29" s="496"/>
      <c r="I29" s="514"/>
      <c r="J29" s="318"/>
      <c r="K29" s="508"/>
      <c r="L29" s="508"/>
      <c r="M29" s="508"/>
      <c r="N29" s="508"/>
      <c r="O29" s="508"/>
      <c r="P29" s="512"/>
      <c r="Q29" s="433" t="s">
        <v>756</v>
      </c>
      <c r="R29" s="500"/>
      <c r="S29" s="518"/>
      <c r="T29" s="519"/>
    </row>
    <row r="30" ht="15.75" customHeight="1">
      <c r="A30" s="470">
        <v>25.0</v>
      </c>
      <c r="B30" s="351" t="str">
        <f t="shared" si="1"/>
        <v/>
      </c>
      <c r="C30" s="513"/>
      <c r="D30" s="510"/>
      <c r="E30" s="511"/>
      <c r="F30" s="510"/>
      <c r="G30" s="510"/>
      <c r="H30" s="496"/>
      <c r="I30" s="514"/>
      <c r="J30" s="318"/>
      <c r="K30" s="508"/>
      <c r="L30" s="508"/>
      <c r="M30" s="508"/>
      <c r="N30" s="508"/>
      <c r="O30" s="508"/>
      <c r="P30" s="512"/>
      <c r="Q30" s="433" t="s">
        <v>756</v>
      </c>
      <c r="R30" s="500"/>
      <c r="S30" s="518"/>
      <c r="T30" s="519"/>
    </row>
    <row r="31" ht="15.75" customHeight="1">
      <c r="A31" s="524">
        <v>26.0</v>
      </c>
      <c r="B31" s="351" t="str">
        <f t="shared" si="1"/>
        <v/>
      </c>
      <c r="C31" s="525"/>
      <c r="D31" s="526"/>
      <c r="E31" s="527"/>
      <c r="F31" s="528"/>
      <c r="G31" s="526"/>
      <c r="H31" s="529"/>
      <c r="I31" s="530"/>
      <c r="J31" s="531"/>
      <c r="K31" s="532"/>
      <c r="L31" s="532"/>
      <c r="M31" s="532"/>
      <c r="N31" s="532"/>
      <c r="O31" s="532"/>
      <c r="P31" s="533"/>
      <c r="Q31" s="433" t="s">
        <v>756</v>
      </c>
      <c r="R31" s="534"/>
      <c r="S31" s="535"/>
      <c r="T31" s="536"/>
    </row>
    <row r="32" ht="15.75" customHeight="1">
      <c r="C32" s="280"/>
      <c r="D32" s="537"/>
      <c r="E32" s="537"/>
      <c r="F32" s="337"/>
      <c r="G32" s="538"/>
      <c r="H32" s="458"/>
      <c r="I32" s="539"/>
      <c r="J32" s="540"/>
      <c r="P32" s="460"/>
      <c r="R32" s="461"/>
    </row>
    <row r="33" ht="15.75" customHeight="1">
      <c r="C33" s="280"/>
      <c r="D33" s="537"/>
      <c r="E33" s="537"/>
      <c r="F33" s="337"/>
      <c r="G33" s="538"/>
      <c r="H33" s="458"/>
      <c r="I33" s="539"/>
      <c r="J33" s="540"/>
      <c r="P33" s="460"/>
      <c r="R33" s="461"/>
    </row>
    <row r="34" ht="15.75" customHeight="1">
      <c r="C34" s="280"/>
      <c r="D34" s="537"/>
      <c r="E34" s="537"/>
      <c r="F34" s="337"/>
      <c r="G34" s="538"/>
      <c r="H34" s="458"/>
      <c r="I34" s="539"/>
      <c r="J34" s="540"/>
      <c r="P34" s="460"/>
      <c r="R34" s="461"/>
    </row>
    <row r="35" ht="15.75" customHeight="1">
      <c r="C35" s="280"/>
      <c r="D35" s="537"/>
      <c r="E35" s="537"/>
      <c r="F35" s="337"/>
      <c r="G35" s="538"/>
      <c r="H35" s="458"/>
      <c r="I35" s="539"/>
      <c r="J35" s="540"/>
      <c r="P35" s="460"/>
      <c r="R35" s="461"/>
    </row>
    <row r="36" ht="15.75" customHeight="1">
      <c r="C36" s="280"/>
      <c r="D36" s="537"/>
      <c r="E36" s="537"/>
      <c r="F36" s="337"/>
      <c r="G36" s="538"/>
      <c r="H36" s="458"/>
      <c r="I36" s="539"/>
      <c r="J36" s="540"/>
      <c r="P36" s="460"/>
      <c r="R36" s="461"/>
    </row>
    <row r="37" ht="15.75" customHeight="1">
      <c r="C37" s="280"/>
      <c r="D37" s="537"/>
      <c r="E37" s="537"/>
      <c r="F37" s="337"/>
      <c r="G37" s="538"/>
      <c r="H37" s="458"/>
      <c r="I37" s="539"/>
      <c r="J37" s="540"/>
      <c r="P37" s="460"/>
      <c r="R37" s="461"/>
    </row>
    <row r="38" ht="15.75" customHeight="1">
      <c r="C38" s="280"/>
      <c r="D38" s="537"/>
      <c r="E38" s="537"/>
      <c r="F38" s="337"/>
      <c r="G38" s="538"/>
      <c r="H38" s="458"/>
      <c r="I38" s="539"/>
      <c r="J38" s="540"/>
      <c r="P38" s="460"/>
      <c r="R38" s="461"/>
    </row>
    <row r="39" ht="15.75" customHeight="1">
      <c r="C39" s="280"/>
      <c r="D39" s="537"/>
      <c r="E39" s="537"/>
      <c r="F39" s="337"/>
      <c r="G39" s="538"/>
      <c r="H39" s="458"/>
      <c r="I39" s="539"/>
      <c r="J39" s="540"/>
      <c r="P39" s="460"/>
      <c r="R39" s="461"/>
    </row>
    <row r="40" ht="15.75" customHeight="1">
      <c r="C40" s="280"/>
      <c r="D40" s="537"/>
      <c r="E40" s="537"/>
      <c r="F40" s="337"/>
      <c r="G40" s="538"/>
      <c r="H40" s="458"/>
      <c r="I40" s="539"/>
      <c r="J40" s="540"/>
      <c r="P40" s="460"/>
      <c r="R40" s="461"/>
    </row>
    <row r="41" ht="15.75" customHeight="1">
      <c r="C41" s="280"/>
      <c r="D41" s="537"/>
      <c r="E41" s="537"/>
      <c r="F41" s="337"/>
      <c r="G41" s="538"/>
      <c r="H41" s="458"/>
      <c r="I41" s="539"/>
      <c r="J41" s="540"/>
      <c r="P41" s="460"/>
      <c r="R41" s="461"/>
    </row>
    <row r="42" ht="15.75" customHeight="1">
      <c r="C42" s="280"/>
      <c r="D42" s="537"/>
      <c r="E42" s="537"/>
      <c r="F42" s="337"/>
      <c r="G42" s="538"/>
      <c r="H42" s="458"/>
      <c r="I42" s="539"/>
      <c r="J42" s="540"/>
      <c r="P42" s="460"/>
      <c r="R42" s="461"/>
    </row>
    <row r="43" ht="15.75" customHeight="1">
      <c r="C43" s="280"/>
      <c r="D43" s="537"/>
      <c r="E43" s="537"/>
      <c r="F43" s="337"/>
      <c r="G43" s="538"/>
      <c r="H43" s="458"/>
      <c r="I43" s="539"/>
      <c r="J43" s="540"/>
      <c r="P43" s="460"/>
      <c r="R43" s="461"/>
    </row>
    <row r="44" ht="15.75" customHeight="1">
      <c r="C44" s="280"/>
      <c r="D44" s="537"/>
      <c r="E44" s="537"/>
      <c r="F44" s="337"/>
      <c r="G44" s="538"/>
      <c r="H44" s="458"/>
      <c r="I44" s="539"/>
      <c r="J44" s="540"/>
      <c r="P44" s="460"/>
      <c r="R44" s="461"/>
    </row>
    <row r="45" ht="15.75" customHeight="1">
      <c r="C45" s="280"/>
      <c r="D45" s="537"/>
      <c r="E45" s="537"/>
      <c r="F45" s="337"/>
      <c r="G45" s="538"/>
      <c r="H45" s="458"/>
      <c r="I45" s="539"/>
      <c r="J45" s="540"/>
      <c r="P45" s="460"/>
      <c r="R45" s="461"/>
    </row>
    <row r="46" ht="15.75" customHeight="1">
      <c r="C46" s="280"/>
      <c r="D46" s="537"/>
      <c r="E46" s="537"/>
      <c r="F46" s="337"/>
      <c r="G46" s="538"/>
      <c r="H46" s="458"/>
      <c r="I46" s="539"/>
      <c r="J46" s="540"/>
      <c r="P46" s="460"/>
      <c r="R46" s="461"/>
    </row>
    <row r="47" ht="15.75" customHeight="1">
      <c r="C47" s="280"/>
      <c r="D47" s="537"/>
      <c r="E47" s="537"/>
      <c r="F47" s="337"/>
      <c r="G47" s="538"/>
      <c r="H47" s="458"/>
      <c r="I47" s="539"/>
      <c r="J47" s="540"/>
      <c r="P47" s="460"/>
      <c r="R47" s="461"/>
    </row>
    <row r="48" ht="15.75" customHeight="1">
      <c r="C48" s="280"/>
      <c r="D48" s="537"/>
      <c r="E48" s="537"/>
      <c r="F48" s="337"/>
      <c r="G48" s="538"/>
      <c r="H48" s="458"/>
      <c r="I48" s="539"/>
      <c r="J48" s="540"/>
      <c r="P48" s="460"/>
      <c r="R48" s="461"/>
    </row>
    <row r="49" ht="15.75" customHeight="1">
      <c r="C49" s="280"/>
      <c r="D49" s="537"/>
      <c r="E49" s="537"/>
      <c r="F49" s="337"/>
      <c r="G49" s="538"/>
      <c r="H49" s="458"/>
      <c r="I49" s="539"/>
      <c r="J49" s="540"/>
      <c r="P49" s="460"/>
      <c r="R49" s="461"/>
    </row>
    <row r="50" ht="15.75" customHeight="1">
      <c r="C50" s="280"/>
      <c r="D50" s="537"/>
      <c r="E50" s="537"/>
      <c r="F50" s="337"/>
      <c r="G50" s="538"/>
      <c r="H50" s="458"/>
      <c r="I50" s="539"/>
      <c r="J50" s="540"/>
      <c r="P50" s="460"/>
      <c r="R50" s="461"/>
    </row>
    <row r="51" ht="15.75" customHeight="1">
      <c r="C51" s="280"/>
      <c r="D51" s="537"/>
      <c r="E51" s="537"/>
      <c r="F51" s="337"/>
      <c r="G51" s="538"/>
      <c r="H51" s="458"/>
      <c r="I51" s="539"/>
      <c r="J51" s="540"/>
      <c r="P51" s="460"/>
      <c r="R51" s="461"/>
    </row>
    <row r="52" ht="15.75" customHeight="1">
      <c r="C52" s="280"/>
      <c r="D52" s="537"/>
      <c r="E52" s="537"/>
      <c r="F52" s="337"/>
      <c r="G52" s="538"/>
      <c r="H52" s="458"/>
      <c r="I52" s="539"/>
      <c r="J52" s="540"/>
      <c r="P52" s="460"/>
      <c r="R52" s="461"/>
    </row>
    <row r="53" ht="15.75" customHeight="1">
      <c r="C53" s="280"/>
      <c r="D53" s="537"/>
      <c r="E53" s="537"/>
      <c r="F53" s="337"/>
      <c r="G53" s="538"/>
      <c r="H53" s="458"/>
      <c r="I53" s="539"/>
      <c r="J53" s="540"/>
      <c r="P53" s="460"/>
      <c r="R53" s="461"/>
    </row>
    <row r="54" ht="15.75" customHeight="1">
      <c r="C54" s="280"/>
      <c r="D54" s="537"/>
      <c r="E54" s="537"/>
      <c r="F54" s="337"/>
      <c r="G54" s="538"/>
      <c r="H54" s="458"/>
      <c r="I54" s="539"/>
      <c r="J54" s="540"/>
      <c r="P54" s="460"/>
      <c r="R54" s="461"/>
    </row>
    <row r="55" ht="15.75" customHeight="1">
      <c r="C55" s="280"/>
      <c r="D55" s="537"/>
      <c r="E55" s="537"/>
      <c r="F55" s="337"/>
      <c r="G55" s="538"/>
      <c r="H55" s="458"/>
      <c r="I55" s="539"/>
      <c r="J55" s="540"/>
      <c r="P55" s="460"/>
      <c r="R55" s="461"/>
    </row>
    <row r="56" ht="15.75" customHeight="1">
      <c r="C56" s="280"/>
      <c r="D56" s="537"/>
      <c r="E56" s="537"/>
      <c r="F56" s="337"/>
      <c r="G56" s="538"/>
      <c r="H56" s="458"/>
      <c r="I56" s="539"/>
      <c r="J56" s="540"/>
      <c r="P56" s="460"/>
      <c r="R56" s="461"/>
    </row>
    <row r="57" ht="15.75" customHeight="1">
      <c r="C57" s="280"/>
      <c r="D57" s="537"/>
      <c r="E57" s="537"/>
      <c r="F57" s="337"/>
      <c r="G57" s="538"/>
      <c r="H57" s="458"/>
      <c r="I57" s="539"/>
      <c r="J57" s="540"/>
      <c r="P57" s="460"/>
      <c r="R57" s="461"/>
    </row>
    <row r="58" ht="15.75" customHeight="1">
      <c r="C58" s="280"/>
      <c r="D58" s="537"/>
      <c r="E58" s="537"/>
      <c r="F58" s="337"/>
      <c r="G58" s="538"/>
      <c r="H58" s="458"/>
      <c r="I58" s="539"/>
      <c r="J58" s="540"/>
      <c r="P58" s="460"/>
      <c r="R58" s="461"/>
    </row>
    <row r="59" ht="15.75" customHeight="1">
      <c r="C59" s="280"/>
      <c r="D59" s="537"/>
      <c r="E59" s="537"/>
      <c r="F59" s="337"/>
      <c r="G59" s="538"/>
      <c r="H59" s="458"/>
      <c r="I59" s="539"/>
      <c r="J59" s="540"/>
      <c r="P59" s="460"/>
      <c r="R59" s="461"/>
    </row>
    <row r="60" ht="15.75" customHeight="1">
      <c r="C60" s="280"/>
      <c r="D60" s="537"/>
      <c r="E60" s="537"/>
      <c r="F60" s="337"/>
      <c r="G60" s="538"/>
      <c r="H60" s="458"/>
      <c r="I60" s="539"/>
      <c r="J60" s="540"/>
      <c r="P60" s="460"/>
      <c r="R60" s="461"/>
    </row>
    <row r="61" ht="15.75" customHeight="1">
      <c r="C61" s="280"/>
      <c r="D61" s="537"/>
      <c r="E61" s="537"/>
      <c r="F61" s="337"/>
      <c r="G61" s="538"/>
      <c r="H61" s="458"/>
      <c r="I61" s="539"/>
      <c r="J61" s="540"/>
      <c r="P61" s="460"/>
      <c r="R61" s="461"/>
    </row>
    <row r="62" ht="15.75" customHeight="1">
      <c r="C62" s="280"/>
      <c r="D62" s="537"/>
      <c r="E62" s="537"/>
      <c r="F62" s="337"/>
      <c r="G62" s="538"/>
      <c r="H62" s="458"/>
      <c r="I62" s="539"/>
      <c r="J62" s="540"/>
      <c r="P62" s="460"/>
      <c r="R62" s="461"/>
    </row>
    <row r="63" ht="15.75" customHeight="1">
      <c r="C63" s="280"/>
      <c r="D63" s="537"/>
      <c r="E63" s="537"/>
      <c r="F63" s="337"/>
      <c r="G63" s="538"/>
      <c r="H63" s="458"/>
      <c r="I63" s="539"/>
      <c r="J63" s="540"/>
      <c r="P63" s="460"/>
      <c r="R63" s="461"/>
    </row>
    <row r="64" ht="15.75" customHeight="1">
      <c r="C64" s="280"/>
      <c r="D64" s="537"/>
      <c r="E64" s="537"/>
      <c r="F64" s="337"/>
      <c r="G64" s="538"/>
      <c r="H64" s="458"/>
      <c r="I64" s="539"/>
      <c r="J64" s="540"/>
      <c r="P64" s="460"/>
      <c r="R64" s="461"/>
    </row>
    <row r="65" ht="15.75" customHeight="1">
      <c r="C65" s="280"/>
      <c r="D65" s="537"/>
      <c r="E65" s="537"/>
      <c r="F65" s="337"/>
      <c r="G65" s="538"/>
      <c r="H65" s="458"/>
      <c r="I65" s="539"/>
      <c r="J65" s="540"/>
      <c r="P65" s="460"/>
      <c r="R65" s="461"/>
    </row>
    <row r="66" ht="15.75" customHeight="1">
      <c r="C66" s="280"/>
      <c r="D66" s="537"/>
      <c r="E66" s="537"/>
      <c r="F66" s="337"/>
      <c r="G66" s="538"/>
      <c r="H66" s="458"/>
      <c r="I66" s="539"/>
      <c r="J66" s="540"/>
      <c r="P66" s="460"/>
      <c r="R66" s="461"/>
    </row>
    <row r="67" ht="15.75" customHeight="1">
      <c r="C67" s="280"/>
      <c r="D67" s="537"/>
      <c r="E67" s="537"/>
      <c r="F67" s="337"/>
      <c r="G67" s="538"/>
      <c r="H67" s="458"/>
      <c r="I67" s="539"/>
      <c r="J67" s="540"/>
      <c r="P67" s="460"/>
      <c r="R67" s="461"/>
    </row>
    <row r="68" ht="15.75" customHeight="1">
      <c r="C68" s="280"/>
      <c r="D68" s="537"/>
      <c r="E68" s="537"/>
      <c r="F68" s="337"/>
      <c r="G68" s="538"/>
      <c r="H68" s="458"/>
      <c r="I68" s="539"/>
      <c r="J68" s="540"/>
      <c r="P68" s="460"/>
      <c r="R68" s="461"/>
    </row>
    <row r="69" ht="15.75" customHeight="1">
      <c r="C69" s="280"/>
      <c r="D69" s="537"/>
      <c r="E69" s="537"/>
      <c r="F69" s="337"/>
      <c r="G69" s="538"/>
      <c r="H69" s="458"/>
      <c r="I69" s="539"/>
      <c r="J69" s="540"/>
      <c r="P69" s="460"/>
      <c r="R69" s="461"/>
    </row>
    <row r="70" ht="15.75" customHeight="1">
      <c r="C70" s="280"/>
      <c r="D70" s="537"/>
      <c r="E70" s="537"/>
      <c r="F70" s="337"/>
      <c r="G70" s="538"/>
      <c r="H70" s="458"/>
      <c r="I70" s="539"/>
      <c r="J70" s="540"/>
      <c r="P70" s="460"/>
      <c r="R70" s="461"/>
    </row>
    <row r="71" ht="15.75" customHeight="1">
      <c r="C71" s="280"/>
      <c r="D71" s="537"/>
      <c r="E71" s="537"/>
      <c r="F71" s="337"/>
      <c r="G71" s="538"/>
      <c r="H71" s="458"/>
      <c r="I71" s="539"/>
      <c r="J71" s="540"/>
      <c r="P71" s="460"/>
      <c r="R71" s="461"/>
    </row>
    <row r="72" ht="15.75" customHeight="1">
      <c r="C72" s="280"/>
      <c r="D72" s="537"/>
      <c r="E72" s="537"/>
      <c r="F72" s="337"/>
      <c r="G72" s="538"/>
      <c r="H72" s="458"/>
      <c r="I72" s="539"/>
      <c r="J72" s="540"/>
      <c r="P72" s="460"/>
      <c r="R72" s="461"/>
    </row>
    <row r="73" ht="15.75" customHeight="1">
      <c r="C73" s="280"/>
      <c r="D73" s="537"/>
      <c r="E73" s="537"/>
      <c r="F73" s="337"/>
      <c r="G73" s="538"/>
      <c r="H73" s="458"/>
      <c r="I73" s="539"/>
      <c r="J73" s="540"/>
      <c r="P73" s="460"/>
      <c r="R73" s="461"/>
    </row>
    <row r="74" ht="15.75" customHeight="1">
      <c r="C74" s="280"/>
      <c r="D74" s="537"/>
      <c r="E74" s="537"/>
      <c r="F74" s="337"/>
      <c r="G74" s="538"/>
      <c r="H74" s="458"/>
      <c r="I74" s="539"/>
      <c r="J74" s="540"/>
      <c r="P74" s="460"/>
      <c r="R74" s="461"/>
    </row>
    <row r="75" ht="15.75" customHeight="1">
      <c r="C75" s="280"/>
      <c r="D75" s="537"/>
      <c r="E75" s="537"/>
      <c r="F75" s="337"/>
      <c r="G75" s="538"/>
      <c r="H75" s="458"/>
      <c r="I75" s="539"/>
      <c r="J75" s="540"/>
      <c r="P75" s="460"/>
      <c r="R75" s="461"/>
    </row>
    <row r="76" ht="15.75" customHeight="1">
      <c r="C76" s="280"/>
      <c r="D76" s="537"/>
      <c r="E76" s="537"/>
      <c r="F76" s="337"/>
      <c r="G76" s="538"/>
      <c r="H76" s="458"/>
      <c r="I76" s="539"/>
      <c r="J76" s="540"/>
      <c r="P76" s="460"/>
      <c r="R76" s="461"/>
    </row>
    <row r="77" ht="15.75" customHeight="1">
      <c r="C77" s="280"/>
      <c r="D77" s="537"/>
      <c r="E77" s="537"/>
      <c r="F77" s="337"/>
      <c r="G77" s="538"/>
      <c r="H77" s="458"/>
      <c r="I77" s="539"/>
      <c r="J77" s="540"/>
      <c r="P77" s="460"/>
      <c r="R77" s="461"/>
    </row>
    <row r="78" ht="15.75" customHeight="1">
      <c r="C78" s="280"/>
      <c r="D78" s="537"/>
      <c r="E78" s="537"/>
      <c r="F78" s="337"/>
      <c r="G78" s="538"/>
      <c r="H78" s="458"/>
      <c r="I78" s="539"/>
      <c r="J78" s="540"/>
      <c r="P78" s="460"/>
      <c r="R78" s="461"/>
    </row>
    <row r="79" ht="15.75" customHeight="1">
      <c r="C79" s="280"/>
      <c r="D79" s="537"/>
      <c r="E79" s="537"/>
      <c r="F79" s="337"/>
      <c r="G79" s="538"/>
      <c r="H79" s="458"/>
      <c r="I79" s="539"/>
      <c r="J79" s="540"/>
      <c r="P79" s="460"/>
      <c r="R79" s="461"/>
    </row>
    <row r="80" ht="15.75" customHeight="1">
      <c r="C80" s="280"/>
      <c r="D80" s="537"/>
      <c r="E80" s="537"/>
      <c r="F80" s="337"/>
      <c r="G80" s="538"/>
      <c r="H80" s="458"/>
      <c r="I80" s="539"/>
      <c r="J80" s="540"/>
      <c r="P80" s="460"/>
      <c r="R80" s="461"/>
    </row>
    <row r="81" ht="15.75" customHeight="1">
      <c r="C81" s="280"/>
      <c r="D81" s="537"/>
      <c r="E81" s="537"/>
      <c r="F81" s="337"/>
      <c r="G81" s="538"/>
      <c r="H81" s="458"/>
      <c r="I81" s="539"/>
      <c r="J81" s="540"/>
      <c r="P81" s="460"/>
      <c r="R81" s="461"/>
    </row>
    <row r="82" ht="15.75" customHeight="1">
      <c r="C82" s="280"/>
      <c r="D82" s="537"/>
      <c r="E82" s="537"/>
      <c r="F82" s="337"/>
      <c r="G82" s="538"/>
      <c r="H82" s="458"/>
      <c r="I82" s="539"/>
      <c r="J82" s="540"/>
      <c r="P82" s="460"/>
      <c r="R82" s="461"/>
    </row>
    <row r="83" ht="15.75" customHeight="1">
      <c r="C83" s="280"/>
      <c r="D83" s="537"/>
      <c r="E83" s="537"/>
      <c r="F83" s="337"/>
      <c r="G83" s="538"/>
      <c r="H83" s="458"/>
      <c r="I83" s="539"/>
      <c r="J83" s="540"/>
      <c r="P83" s="460"/>
      <c r="R83" s="461"/>
    </row>
    <row r="84" ht="15.75" customHeight="1">
      <c r="C84" s="280"/>
      <c r="D84" s="537"/>
      <c r="E84" s="537"/>
      <c r="F84" s="337"/>
      <c r="G84" s="538"/>
      <c r="H84" s="458"/>
      <c r="I84" s="539"/>
      <c r="J84" s="540"/>
      <c r="P84" s="460"/>
      <c r="R84" s="461"/>
    </row>
    <row r="85" ht="15.75" customHeight="1">
      <c r="C85" s="280"/>
      <c r="D85" s="537"/>
      <c r="E85" s="537"/>
      <c r="F85" s="337"/>
      <c r="G85" s="538"/>
      <c r="H85" s="458"/>
      <c r="I85" s="539"/>
      <c r="J85" s="540"/>
      <c r="P85" s="460"/>
      <c r="R85" s="461"/>
    </row>
    <row r="86" ht="15.75" customHeight="1">
      <c r="C86" s="280"/>
      <c r="D86" s="537"/>
      <c r="E86" s="537"/>
      <c r="F86" s="337"/>
      <c r="G86" s="538"/>
      <c r="H86" s="458"/>
      <c r="I86" s="539"/>
      <c r="J86" s="540"/>
      <c r="P86" s="460"/>
      <c r="R86" s="461"/>
    </row>
    <row r="87" ht="15.75" customHeight="1">
      <c r="C87" s="280"/>
      <c r="D87" s="537"/>
      <c r="E87" s="537"/>
      <c r="F87" s="337"/>
      <c r="G87" s="538"/>
      <c r="H87" s="458"/>
      <c r="I87" s="539"/>
      <c r="J87" s="540"/>
      <c r="P87" s="460"/>
      <c r="R87" s="461"/>
    </row>
    <row r="88" ht="15.75" customHeight="1">
      <c r="C88" s="280"/>
      <c r="D88" s="537"/>
      <c r="E88" s="537"/>
      <c r="F88" s="337"/>
      <c r="G88" s="538"/>
      <c r="H88" s="458"/>
      <c r="I88" s="539"/>
      <c r="J88" s="540"/>
      <c r="P88" s="460"/>
      <c r="R88" s="461"/>
    </row>
    <row r="89" ht="15.75" customHeight="1">
      <c r="C89" s="280"/>
      <c r="D89" s="537"/>
      <c r="E89" s="537"/>
      <c r="F89" s="337"/>
      <c r="G89" s="538"/>
      <c r="H89" s="458"/>
      <c r="I89" s="539"/>
      <c r="J89" s="540"/>
      <c r="P89" s="460"/>
      <c r="R89" s="461"/>
    </row>
    <row r="90" ht="15.75" customHeight="1">
      <c r="C90" s="280"/>
      <c r="D90" s="537"/>
      <c r="E90" s="537"/>
      <c r="F90" s="337"/>
      <c r="G90" s="538"/>
      <c r="H90" s="458"/>
      <c r="I90" s="539"/>
      <c r="J90" s="540"/>
      <c r="P90" s="460"/>
      <c r="R90" s="461"/>
    </row>
    <row r="91" ht="15.75" customHeight="1">
      <c r="C91" s="280"/>
      <c r="D91" s="537"/>
      <c r="E91" s="537"/>
      <c r="F91" s="337"/>
      <c r="G91" s="538"/>
      <c r="H91" s="458"/>
      <c r="I91" s="539"/>
      <c r="J91" s="540"/>
      <c r="P91" s="460"/>
      <c r="R91" s="461"/>
    </row>
    <row r="92" ht="15.75" customHeight="1">
      <c r="C92" s="280"/>
      <c r="D92" s="537"/>
      <c r="E92" s="537"/>
      <c r="F92" s="337"/>
      <c r="G92" s="538"/>
      <c r="H92" s="458"/>
      <c r="I92" s="539"/>
      <c r="J92" s="540"/>
      <c r="P92" s="460"/>
      <c r="R92" s="461"/>
    </row>
    <row r="93" ht="15.75" customHeight="1">
      <c r="C93" s="280"/>
      <c r="D93" s="537"/>
      <c r="E93" s="537"/>
      <c r="F93" s="337"/>
      <c r="G93" s="538"/>
      <c r="H93" s="458"/>
      <c r="I93" s="539"/>
      <c r="J93" s="540"/>
      <c r="P93" s="460"/>
      <c r="R93" s="461"/>
    </row>
    <row r="94" ht="15.75" customHeight="1">
      <c r="C94" s="280"/>
      <c r="D94" s="537"/>
      <c r="E94" s="537"/>
      <c r="F94" s="337"/>
      <c r="G94" s="538"/>
      <c r="H94" s="458"/>
      <c r="I94" s="539"/>
      <c r="J94" s="540"/>
      <c r="P94" s="460"/>
      <c r="R94" s="461"/>
    </row>
    <row r="95" ht="15.75" customHeight="1">
      <c r="C95" s="280"/>
      <c r="D95" s="537"/>
      <c r="E95" s="537"/>
      <c r="F95" s="337"/>
      <c r="G95" s="538"/>
      <c r="H95" s="458"/>
      <c r="I95" s="539"/>
      <c r="J95" s="540"/>
      <c r="P95" s="460"/>
      <c r="R95" s="461"/>
    </row>
    <row r="96" ht="15.75" customHeight="1">
      <c r="C96" s="280"/>
      <c r="D96" s="537"/>
      <c r="E96" s="537"/>
      <c r="F96" s="337"/>
      <c r="G96" s="538"/>
      <c r="H96" s="458"/>
      <c r="I96" s="539"/>
      <c r="J96" s="540"/>
      <c r="P96" s="460"/>
      <c r="R96" s="461"/>
    </row>
    <row r="97" ht="15.75" customHeight="1">
      <c r="C97" s="280"/>
      <c r="D97" s="537"/>
      <c r="E97" s="537"/>
      <c r="F97" s="337"/>
      <c r="G97" s="538"/>
      <c r="H97" s="458"/>
      <c r="I97" s="539"/>
      <c r="J97" s="540"/>
      <c r="P97" s="460"/>
      <c r="R97" s="461"/>
    </row>
    <row r="98" ht="15.75" customHeight="1">
      <c r="C98" s="280"/>
      <c r="D98" s="537"/>
      <c r="E98" s="537"/>
      <c r="F98" s="337"/>
      <c r="G98" s="538"/>
      <c r="H98" s="458"/>
      <c r="I98" s="539"/>
      <c r="J98" s="540"/>
      <c r="P98" s="460"/>
      <c r="R98" s="461"/>
    </row>
    <row r="99" ht="15.75" customHeight="1">
      <c r="C99" s="280"/>
      <c r="D99" s="537"/>
      <c r="E99" s="537"/>
      <c r="F99" s="337"/>
      <c r="G99" s="538"/>
      <c r="H99" s="458"/>
      <c r="I99" s="539"/>
      <c r="J99" s="540"/>
      <c r="P99" s="460"/>
      <c r="R99" s="461"/>
    </row>
    <row r="100" ht="15.75" customHeight="1">
      <c r="C100" s="280"/>
      <c r="D100" s="537"/>
      <c r="E100" s="537"/>
      <c r="F100" s="337"/>
      <c r="G100" s="538"/>
      <c r="H100" s="458"/>
      <c r="I100" s="539"/>
      <c r="J100" s="540"/>
      <c r="P100" s="460"/>
      <c r="R100" s="461"/>
    </row>
    <row r="101" ht="15.75" customHeight="1">
      <c r="C101" s="280"/>
      <c r="D101" s="537"/>
      <c r="E101" s="537"/>
      <c r="F101" s="337"/>
      <c r="G101" s="538"/>
      <c r="H101" s="458"/>
      <c r="I101" s="539"/>
      <c r="J101" s="540"/>
      <c r="P101" s="460"/>
      <c r="R101" s="461"/>
    </row>
    <row r="102" ht="15.75" customHeight="1">
      <c r="C102" s="280"/>
      <c r="D102" s="537"/>
      <c r="E102" s="537"/>
      <c r="F102" s="337"/>
      <c r="G102" s="538"/>
      <c r="H102" s="458"/>
      <c r="I102" s="539"/>
      <c r="J102" s="540"/>
      <c r="P102" s="460"/>
      <c r="R102" s="461"/>
    </row>
    <row r="103" ht="15.75" customHeight="1">
      <c r="C103" s="280"/>
      <c r="D103" s="537"/>
      <c r="E103" s="537"/>
      <c r="F103" s="337"/>
      <c r="G103" s="538"/>
      <c r="H103" s="458"/>
      <c r="I103" s="539"/>
      <c r="J103" s="540"/>
      <c r="P103" s="460"/>
      <c r="R103" s="461"/>
    </row>
    <row r="104" ht="15.75" customHeight="1">
      <c r="C104" s="280"/>
      <c r="D104" s="537"/>
      <c r="E104" s="537"/>
      <c r="F104" s="337"/>
      <c r="G104" s="538"/>
      <c r="H104" s="458"/>
      <c r="I104" s="539"/>
      <c r="J104" s="540"/>
      <c r="P104" s="460"/>
      <c r="R104" s="461"/>
    </row>
    <row r="105" ht="15.75" customHeight="1">
      <c r="C105" s="280"/>
      <c r="D105" s="537"/>
      <c r="E105" s="537"/>
      <c r="F105" s="337"/>
      <c r="G105" s="538"/>
      <c r="H105" s="458"/>
      <c r="I105" s="539"/>
      <c r="J105" s="540"/>
      <c r="P105" s="460"/>
      <c r="R105" s="461"/>
    </row>
    <row r="106" ht="15.75" customHeight="1">
      <c r="C106" s="280"/>
      <c r="D106" s="537"/>
      <c r="E106" s="537"/>
      <c r="F106" s="337"/>
      <c r="G106" s="538"/>
      <c r="H106" s="458"/>
      <c r="I106" s="539"/>
      <c r="J106" s="540"/>
      <c r="P106" s="460"/>
      <c r="R106" s="461"/>
    </row>
    <row r="107" ht="15.75" customHeight="1">
      <c r="C107" s="280"/>
      <c r="D107" s="537"/>
      <c r="E107" s="537"/>
      <c r="F107" s="337"/>
      <c r="G107" s="538"/>
      <c r="H107" s="458"/>
      <c r="I107" s="539"/>
      <c r="J107" s="540"/>
      <c r="P107" s="460"/>
      <c r="R107" s="461"/>
    </row>
    <row r="108" ht="15.75" customHeight="1">
      <c r="C108" s="280"/>
      <c r="D108" s="537"/>
      <c r="E108" s="537"/>
      <c r="F108" s="337"/>
      <c r="G108" s="538"/>
      <c r="H108" s="458"/>
      <c r="I108" s="539"/>
      <c r="J108" s="540"/>
      <c r="P108" s="460"/>
      <c r="R108" s="461"/>
    </row>
    <row r="109" ht="15.75" customHeight="1">
      <c r="C109" s="280"/>
      <c r="D109" s="537"/>
      <c r="E109" s="537"/>
      <c r="F109" s="337"/>
      <c r="G109" s="538"/>
      <c r="H109" s="458"/>
      <c r="I109" s="539"/>
      <c r="J109" s="540"/>
      <c r="P109" s="460"/>
      <c r="R109" s="461"/>
    </row>
    <row r="110" ht="15.75" customHeight="1">
      <c r="C110" s="280"/>
      <c r="D110" s="537"/>
      <c r="E110" s="537"/>
      <c r="F110" s="337"/>
      <c r="G110" s="538"/>
      <c r="H110" s="458"/>
      <c r="I110" s="539"/>
      <c r="J110" s="540"/>
      <c r="P110" s="460"/>
      <c r="R110" s="461"/>
    </row>
    <row r="111" ht="15.75" customHeight="1">
      <c r="C111" s="280"/>
      <c r="D111" s="537"/>
      <c r="E111" s="537"/>
      <c r="F111" s="337"/>
      <c r="G111" s="538"/>
      <c r="H111" s="458"/>
      <c r="I111" s="539"/>
      <c r="J111" s="540"/>
      <c r="P111" s="460"/>
      <c r="R111" s="461"/>
    </row>
    <row r="112" ht="15.75" customHeight="1">
      <c r="C112" s="280"/>
      <c r="D112" s="537"/>
      <c r="E112" s="537"/>
      <c r="F112" s="337"/>
      <c r="G112" s="538"/>
      <c r="H112" s="458"/>
      <c r="I112" s="539"/>
      <c r="J112" s="540"/>
      <c r="P112" s="460"/>
      <c r="R112" s="461"/>
    </row>
    <row r="113" ht="15.75" customHeight="1">
      <c r="C113" s="280"/>
      <c r="D113" s="537"/>
      <c r="E113" s="537"/>
      <c r="F113" s="337"/>
      <c r="G113" s="538"/>
      <c r="H113" s="458"/>
      <c r="I113" s="539"/>
      <c r="J113" s="540"/>
      <c r="P113" s="460"/>
      <c r="R113" s="461"/>
    </row>
    <row r="114" ht="15.75" customHeight="1">
      <c r="C114" s="280"/>
      <c r="D114" s="537"/>
      <c r="E114" s="537"/>
      <c r="F114" s="337"/>
      <c r="G114" s="538"/>
      <c r="H114" s="458"/>
      <c r="I114" s="539"/>
      <c r="J114" s="540"/>
      <c r="P114" s="460"/>
      <c r="R114" s="461"/>
    </row>
    <row r="115" ht="15.75" customHeight="1">
      <c r="C115" s="280"/>
      <c r="D115" s="537"/>
      <c r="E115" s="537"/>
      <c r="F115" s="337"/>
      <c r="G115" s="538"/>
      <c r="H115" s="458"/>
      <c r="I115" s="539"/>
      <c r="J115" s="540"/>
      <c r="P115" s="460"/>
      <c r="R115" s="461"/>
    </row>
    <row r="116" ht="15.75" customHeight="1">
      <c r="C116" s="280"/>
      <c r="D116" s="537"/>
      <c r="E116" s="537"/>
      <c r="F116" s="337"/>
      <c r="G116" s="538"/>
      <c r="H116" s="458"/>
      <c r="I116" s="539"/>
      <c r="J116" s="540"/>
      <c r="P116" s="460"/>
      <c r="R116" s="461"/>
    </row>
    <row r="117" ht="15.75" customHeight="1">
      <c r="C117" s="280"/>
      <c r="D117" s="537"/>
      <c r="E117" s="537"/>
      <c r="F117" s="337"/>
      <c r="G117" s="538"/>
      <c r="H117" s="458"/>
      <c r="I117" s="539"/>
      <c r="J117" s="540"/>
      <c r="P117" s="460"/>
      <c r="R117" s="461"/>
    </row>
    <row r="118" ht="15.75" customHeight="1">
      <c r="C118" s="280"/>
      <c r="D118" s="537"/>
      <c r="E118" s="537"/>
      <c r="F118" s="337"/>
      <c r="G118" s="538"/>
      <c r="H118" s="458"/>
      <c r="I118" s="539"/>
      <c r="J118" s="540"/>
      <c r="P118" s="460"/>
      <c r="R118" s="461"/>
    </row>
    <row r="119" ht="15.75" customHeight="1">
      <c r="C119" s="280"/>
      <c r="D119" s="537"/>
      <c r="E119" s="537"/>
      <c r="F119" s="337"/>
      <c r="G119" s="538"/>
      <c r="H119" s="458"/>
      <c r="I119" s="539"/>
      <c r="J119" s="540"/>
      <c r="P119" s="460"/>
      <c r="R119" s="461"/>
    </row>
    <row r="120" ht="15.75" customHeight="1">
      <c r="C120" s="280"/>
      <c r="D120" s="537"/>
      <c r="E120" s="537"/>
      <c r="F120" s="337"/>
      <c r="G120" s="538"/>
      <c r="H120" s="458"/>
      <c r="I120" s="539"/>
      <c r="J120" s="540"/>
      <c r="P120" s="460"/>
      <c r="R120" s="461"/>
    </row>
    <row r="121" ht="15.75" customHeight="1">
      <c r="C121" s="280"/>
      <c r="D121" s="537"/>
      <c r="E121" s="537"/>
      <c r="F121" s="337"/>
      <c r="G121" s="538"/>
      <c r="H121" s="458"/>
      <c r="I121" s="539"/>
      <c r="J121" s="540"/>
      <c r="P121" s="460"/>
      <c r="R121" s="461"/>
    </row>
    <row r="122" ht="15.75" customHeight="1">
      <c r="C122" s="280"/>
      <c r="D122" s="537"/>
      <c r="E122" s="537"/>
      <c r="F122" s="337"/>
      <c r="G122" s="538"/>
      <c r="H122" s="458"/>
      <c r="I122" s="539"/>
      <c r="J122" s="540"/>
      <c r="P122" s="460"/>
      <c r="R122" s="461"/>
    </row>
    <row r="123" ht="15.75" customHeight="1">
      <c r="C123" s="280"/>
      <c r="D123" s="537"/>
      <c r="E123" s="537"/>
      <c r="F123" s="337"/>
      <c r="G123" s="538"/>
      <c r="H123" s="458"/>
      <c r="I123" s="539"/>
      <c r="J123" s="540"/>
      <c r="P123" s="460"/>
      <c r="R123" s="461"/>
    </row>
    <row r="124" ht="15.75" customHeight="1">
      <c r="C124" s="280"/>
      <c r="D124" s="537"/>
      <c r="E124" s="537"/>
      <c r="F124" s="337"/>
      <c r="G124" s="538"/>
      <c r="H124" s="458"/>
      <c r="I124" s="539"/>
      <c r="J124" s="540"/>
      <c r="P124" s="460"/>
      <c r="R124" s="461"/>
    </row>
    <row r="125" ht="15.75" customHeight="1">
      <c r="C125" s="280"/>
      <c r="D125" s="537"/>
      <c r="E125" s="537"/>
      <c r="F125" s="337"/>
      <c r="G125" s="538"/>
      <c r="H125" s="458"/>
      <c r="I125" s="539"/>
      <c r="J125" s="540"/>
      <c r="P125" s="460"/>
      <c r="R125" s="461"/>
    </row>
    <row r="126" ht="15.75" customHeight="1">
      <c r="C126" s="280"/>
      <c r="D126" s="537"/>
      <c r="E126" s="537"/>
      <c r="F126" s="337"/>
      <c r="G126" s="538"/>
      <c r="H126" s="458"/>
      <c r="I126" s="539"/>
      <c r="J126" s="540"/>
      <c r="P126" s="460"/>
      <c r="R126" s="461"/>
    </row>
    <row r="127" ht="15.75" customHeight="1">
      <c r="C127" s="280"/>
      <c r="D127" s="537"/>
      <c r="E127" s="537"/>
      <c r="F127" s="337"/>
      <c r="G127" s="538"/>
      <c r="H127" s="458"/>
      <c r="I127" s="539"/>
      <c r="J127" s="540"/>
      <c r="P127" s="460"/>
      <c r="R127" s="461"/>
    </row>
    <row r="128" ht="15.75" customHeight="1">
      <c r="C128" s="280"/>
      <c r="D128" s="537"/>
      <c r="E128" s="537"/>
      <c r="F128" s="337"/>
      <c r="G128" s="538"/>
      <c r="H128" s="458"/>
      <c r="I128" s="539"/>
      <c r="J128" s="540"/>
      <c r="P128" s="460"/>
      <c r="R128" s="461"/>
    </row>
    <row r="129" ht="15.75" customHeight="1">
      <c r="C129" s="280"/>
      <c r="D129" s="537"/>
      <c r="E129" s="537"/>
      <c r="F129" s="337"/>
      <c r="G129" s="538"/>
      <c r="H129" s="458"/>
      <c r="I129" s="539"/>
      <c r="J129" s="540"/>
      <c r="P129" s="460"/>
      <c r="R129" s="461"/>
    </row>
    <row r="130" ht="15.75" customHeight="1">
      <c r="C130" s="280"/>
      <c r="D130" s="537"/>
      <c r="E130" s="537"/>
      <c r="F130" s="337"/>
      <c r="G130" s="538"/>
      <c r="H130" s="458"/>
      <c r="I130" s="539"/>
      <c r="J130" s="540"/>
      <c r="P130" s="460"/>
      <c r="R130" s="461"/>
    </row>
    <row r="131" ht="15.75" customHeight="1">
      <c r="C131" s="280"/>
      <c r="D131" s="537"/>
      <c r="E131" s="537"/>
      <c r="F131" s="337"/>
      <c r="G131" s="538"/>
      <c r="H131" s="458"/>
      <c r="I131" s="539"/>
      <c r="J131" s="540"/>
      <c r="P131" s="460"/>
      <c r="R131" s="461"/>
    </row>
    <row r="132" ht="15.75" customHeight="1">
      <c r="C132" s="280"/>
      <c r="D132" s="537"/>
      <c r="E132" s="537"/>
      <c r="F132" s="337"/>
      <c r="G132" s="538"/>
      <c r="H132" s="458"/>
      <c r="I132" s="539"/>
      <c r="J132" s="540"/>
      <c r="P132" s="460"/>
      <c r="R132" s="461"/>
    </row>
    <row r="133" ht="15.75" customHeight="1">
      <c r="C133" s="280"/>
      <c r="D133" s="537"/>
      <c r="E133" s="537"/>
      <c r="F133" s="337"/>
      <c r="G133" s="538"/>
      <c r="H133" s="458"/>
      <c r="I133" s="539"/>
      <c r="J133" s="540"/>
      <c r="P133" s="460"/>
      <c r="R133" s="461"/>
    </row>
    <row r="134" ht="15.75" customHeight="1">
      <c r="C134" s="280"/>
      <c r="D134" s="537"/>
      <c r="E134" s="537"/>
      <c r="F134" s="337"/>
      <c r="G134" s="538"/>
      <c r="H134" s="458"/>
      <c r="I134" s="539"/>
      <c r="J134" s="540"/>
      <c r="P134" s="460"/>
      <c r="R134" s="461"/>
    </row>
    <row r="135" ht="15.75" customHeight="1">
      <c r="C135" s="280"/>
      <c r="D135" s="537"/>
      <c r="E135" s="537"/>
      <c r="F135" s="337"/>
      <c r="G135" s="538"/>
      <c r="H135" s="458"/>
      <c r="I135" s="539"/>
      <c r="J135" s="540"/>
      <c r="P135" s="460"/>
      <c r="R135" s="461"/>
    </row>
    <row r="136" ht="15.75" customHeight="1">
      <c r="C136" s="280"/>
      <c r="D136" s="537"/>
      <c r="E136" s="537"/>
      <c r="F136" s="337"/>
      <c r="G136" s="538"/>
      <c r="H136" s="458"/>
      <c r="I136" s="539"/>
      <c r="J136" s="540"/>
      <c r="P136" s="460"/>
      <c r="R136" s="461"/>
    </row>
    <row r="137" ht="15.75" customHeight="1">
      <c r="C137" s="280"/>
      <c r="D137" s="537"/>
      <c r="E137" s="537"/>
      <c r="F137" s="337"/>
      <c r="G137" s="538"/>
      <c r="H137" s="458"/>
      <c r="I137" s="539"/>
      <c r="J137" s="540"/>
      <c r="P137" s="460"/>
      <c r="R137" s="461"/>
    </row>
    <row r="138" ht="15.75" customHeight="1">
      <c r="C138" s="280"/>
      <c r="D138" s="537"/>
      <c r="E138" s="537"/>
      <c r="F138" s="337"/>
      <c r="G138" s="538"/>
      <c r="H138" s="458"/>
      <c r="I138" s="539"/>
      <c r="J138" s="540"/>
      <c r="P138" s="460"/>
      <c r="R138" s="461"/>
    </row>
    <row r="139" ht="15.75" customHeight="1">
      <c r="C139" s="280"/>
      <c r="D139" s="537"/>
      <c r="E139" s="537"/>
      <c r="F139" s="337"/>
      <c r="G139" s="538"/>
      <c r="H139" s="458"/>
      <c r="I139" s="539"/>
      <c r="J139" s="540"/>
      <c r="P139" s="460"/>
      <c r="R139" s="461"/>
    </row>
    <row r="140" ht="15.75" customHeight="1">
      <c r="C140" s="280"/>
      <c r="D140" s="537"/>
      <c r="E140" s="537"/>
      <c r="F140" s="337"/>
      <c r="G140" s="538"/>
      <c r="H140" s="458"/>
      <c r="I140" s="539"/>
      <c r="J140" s="540"/>
      <c r="P140" s="460"/>
      <c r="R140" s="461"/>
    </row>
    <row r="141" ht="15.75" customHeight="1">
      <c r="C141" s="280"/>
      <c r="D141" s="537"/>
      <c r="E141" s="537"/>
      <c r="F141" s="337"/>
      <c r="G141" s="538"/>
      <c r="H141" s="458"/>
      <c r="I141" s="539"/>
      <c r="J141" s="540"/>
      <c r="P141" s="460"/>
      <c r="R141" s="461"/>
    </row>
    <row r="142" ht="15.75" customHeight="1">
      <c r="C142" s="280"/>
      <c r="D142" s="537"/>
      <c r="E142" s="537"/>
      <c r="F142" s="337"/>
      <c r="G142" s="538"/>
      <c r="H142" s="458"/>
      <c r="I142" s="539"/>
      <c r="J142" s="540"/>
      <c r="P142" s="460"/>
      <c r="R142" s="461"/>
    </row>
    <row r="143" ht="15.75" customHeight="1">
      <c r="C143" s="280"/>
      <c r="D143" s="537"/>
      <c r="E143" s="537"/>
      <c r="F143" s="337"/>
      <c r="G143" s="538"/>
      <c r="H143" s="458"/>
      <c r="I143" s="539"/>
      <c r="J143" s="540"/>
      <c r="P143" s="460"/>
      <c r="R143" s="461"/>
    </row>
    <row r="144" ht="15.75" customHeight="1">
      <c r="C144" s="280"/>
      <c r="D144" s="537"/>
      <c r="E144" s="537"/>
      <c r="F144" s="337"/>
      <c r="G144" s="538"/>
      <c r="H144" s="458"/>
      <c r="I144" s="539"/>
      <c r="J144" s="540"/>
      <c r="P144" s="460"/>
      <c r="R144" s="461"/>
    </row>
    <row r="145" ht="15.75" customHeight="1">
      <c r="C145" s="280"/>
      <c r="D145" s="537"/>
      <c r="E145" s="537"/>
      <c r="F145" s="337"/>
      <c r="G145" s="538"/>
      <c r="H145" s="458"/>
      <c r="I145" s="539"/>
      <c r="J145" s="540"/>
      <c r="P145" s="460"/>
      <c r="R145" s="461"/>
    </row>
    <row r="146" ht="15.75" customHeight="1">
      <c r="C146" s="280"/>
      <c r="D146" s="537"/>
      <c r="E146" s="537"/>
      <c r="F146" s="337"/>
      <c r="G146" s="538"/>
      <c r="H146" s="458"/>
      <c r="I146" s="539"/>
      <c r="J146" s="540"/>
      <c r="P146" s="460"/>
      <c r="R146" s="461"/>
    </row>
    <row r="147" ht="15.75" customHeight="1">
      <c r="C147" s="280"/>
      <c r="D147" s="537"/>
      <c r="E147" s="537"/>
      <c r="F147" s="337"/>
      <c r="G147" s="538"/>
      <c r="H147" s="458"/>
      <c r="I147" s="539"/>
      <c r="J147" s="540"/>
      <c r="P147" s="460"/>
      <c r="R147" s="461"/>
    </row>
    <row r="148" ht="15.75" customHeight="1">
      <c r="C148" s="280"/>
      <c r="D148" s="537"/>
      <c r="E148" s="537"/>
      <c r="F148" s="337"/>
      <c r="G148" s="538"/>
      <c r="H148" s="458"/>
      <c r="I148" s="539"/>
      <c r="J148" s="540"/>
      <c r="P148" s="460"/>
      <c r="R148" s="461"/>
    </row>
    <row r="149" ht="15.75" customHeight="1">
      <c r="C149" s="280"/>
      <c r="D149" s="537"/>
      <c r="E149" s="537"/>
      <c r="F149" s="337"/>
      <c r="G149" s="538"/>
      <c r="H149" s="458"/>
      <c r="I149" s="539"/>
      <c r="J149" s="540"/>
      <c r="P149" s="460"/>
      <c r="R149" s="461"/>
    </row>
    <row r="150" ht="15.75" customHeight="1">
      <c r="C150" s="280"/>
      <c r="D150" s="537"/>
      <c r="E150" s="537"/>
      <c r="F150" s="337"/>
      <c r="G150" s="538"/>
      <c r="H150" s="458"/>
      <c r="I150" s="539"/>
      <c r="J150" s="540"/>
      <c r="P150" s="460"/>
      <c r="R150" s="461"/>
    </row>
    <row r="151" ht="15.75" customHeight="1">
      <c r="C151" s="280"/>
      <c r="D151" s="537"/>
      <c r="E151" s="537"/>
      <c r="F151" s="337"/>
      <c r="G151" s="538"/>
      <c r="H151" s="458"/>
      <c r="I151" s="539"/>
      <c r="J151" s="540"/>
      <c r="P151" s="460"/>
      <c r="R151" s="461"/>
    </row>
    <row r="152" ht="15.75" customHeight="1">
      <c r="C152" s="280"/>
      <c r="D152" s="537"/>
      <c r="E152" s="537"/>
      <c r="F152" s="337"/>
      <c r="G152" s="538"/>
      <c r="H152" s="458"/>
      <c r="I152" s="539"/>
      <c r="J152" s="540"/>
      <c r="P152" s="460"/>
      <c r="R152" s="461"/>
    </row>
    <row r="153" ht="15.75" customHeight="1">
      <c r="C153" s="280"/>
      <c r="D153" s="537"/>
      <c r="E153" s="537"/>
      <c r="F153" s="337"/>
      <c r="G153" s="538"/>
      <c r="H153" s="458"/>
      <c r="I153" s="539"/>
      <c r="J153" s="540"/>
      <c r="P153" s="460"/>
      <c r="R153" s="461"/>
    </row>
    <row r="154" ht="15.75" customHeight="1">
      <c r="C154" s="280"/>
      <c r="D154" s="537"/>
      <c r="E154" s="537"/>
      <c r="F154" s="337"/>
      <c r="G154" s="538"/>
      <c r="H154" s="458"/>
      <c r="I154" s="539"/>
      <c r="J154" s="540"/>
      <c r="P154" s="460"/>
      <c r="R154" s="461"/>
    </row>
    <row r="155" ht="15.75" customHeight="1">
      <c r="C155" s="280"/>
      <c r="D155" s="537"/>
      <c r="E155" s="537"/>
      <c r="F155" s="337"/>
      <c r="G155" s="538"/>
      <c r="H155" s="458"/>
      <c r="I155" s="539"/>
      <c r="J155" s="540"/>
      <c r="P155" s="460"/>
      <c r="R155" s="461"/>
    </row>
    <row r="156" ht="15.75" customHeight="1">
      <c r="C156" s="280"/>
      <c r="D156" s="537"/>
      <c r="E156" s="537"/>
      <c r="F156" s="337"/>
      <c r="G156" s="538"/>
      <c r="H156" s="458"/>
      <c r="I156" s="539"/>
      <c r="J156" s="540"/>
      <c r="P156" s="460"/>
      <c r="R156" s="461"/>
    </row>
    <row r="157" ht="15.75" customHeight="1">
      <c r="C157" s="280"/>
      <c r="D157" s="537"/>
      <c r="E157" s="537"/>
      <c r="F157" s="337"/>
      <c r="G157" s="538"/>
      <c r="H157" s="458"/>
      <c r="I157" s="539"/>
      <c r="J157" s="540"/>
      <c r="P157" s="460"/>
      <c r="R157" s="461"/>
    </row>
    <row r="158" ht="15.75" customHeight="1">
      <c r="C158" s="280"/>
      <c r="D158" s="537"/>
      <c r="E158" s="537"/>
      <c r="F158" s="337"/>
      <c r="G158" s="538"/>
      <c r="H158" s="458"/>
      <c r="I158" s="539"/>
      <c r="J158" s="540"/>
      <c r="P158" s="460"/>
      <c r="R158" s="461"/>
    </row>
    <row r="159" ht="15.75" customHeight="1">
      <c r="C159" s="280"/>
      <c r="D159" s="537"/>
      <c r="E159" s="537"/>
      <c r="F159" s="337"/>
      <c r="G159" s="538"/>
      <c r="H159" s="458"/>
      <c r="I159" s="539"/>
      <c r="J159" s="540"/>
      <c r="P159" s="460"/>
      <c r="R159" s="461"/>
    </row>
    <row r="160" ht="15.75" customHeight="1">
      <c r="C160" s="280"/>
      <c r="D160" s="537"/>
      <c r="E160" s="537"/>
      <c r="F160" s="337"/>
      <c r="G160" s="538"/>
      <c r="H160" s="458"/>
      <c r="I160" s="539"/>
      <c r="J160" s="540"/>
      <c r="P160" s="460"/>
      <c r="R160" s="461"/>
    </row>
    <row r="161" ht="15.75" customHeight="1">
      <c r="C161" s="280"/>
      <c r="D161" s="537"/>
      <c r="E161" s="537"/>
      <c r="F161" s="337"/>
      <c r="G161" s="538"/>
      <c r="H161" s="458"/>
      <c r="I161" s="539"/>
      <c r="J161" s="540"/>
      <c r="P161" s="460"/>
      <c r="R161" s="461"/>
    </row>
    <row r="162" ht="15.75" customHeight="1">
      <c r="C162" s="280"/>
      <c r="D162" s="537"/>
      <c r="E162" s="537"/>
      <c r="F162" s="337"/>
      <c r="G162" s="538"/>
      <c r="H162" s="458"/>
      <c r="I162" s="539"/>
      <c r="J162" s="540"/>
      <c r="P162" s="460"/>
      <c r="R162" s="461"/>
    </row>
    <row r="163" ht="15.75" customHeight="1">
      <c r="C163" s="280"/>
      <c r="D163" s="537"/>
      <c r="E163" s="537"/>
      <c r="F163" s="337"/>
      <c r="G163" s="538"/>
      <c r="H163" s="458"/>
      <c r="I163" s="539"/>
      <c r="J163" s="540"/>
      <c r="P163" s="460"/>
      <c r="R163" s="461"/>
    </row>
    <row r="164" ht="15.75" customHeight="1">
      <c r="C164" s="280"/>
      <c r="D164" s="537"/>
      <c r="E164" s="537"/>
      <c r="F164" s="337"/>
      <c r="G164" s="538"/>
      <c r="H164" s="458"/>
      <c r="I164" s="539"/>
      <c r="J164" s="540"/>
      <c r="P164" s="460"/>
      <c r="R164" s="461"/>
    </row>
    <row r="165" ht="15.75" customHeight="1">
      <c r="C165" s="280"/>
      <c r="D165" s="537"/>
      <c r="E165" s="537"/>
      <c r="F165" s="337"/>
      <c r="G165" s="538"/>
      <c r="H165" s="458"/>
      <c r="I165" s="539"/>
      <c r="J165" s="540"/>
      <c r="P165" s="460"/>
      <c r="R165" s="461"/>
    </row>
    <row r="166" ht="15.75" customHeight="1">
      <c r="C166" s="280"/>
      <c r="D166" s="537"/>
      <c r="E166" s="537"/>
      <c r="F166" s="337"/>
      <c r="G166" s="538"/>
      <c r="H166" s="458"/>
      <c r="I166" s="539"/>
      <c r="J166" s="540"/>
      <c r="P166" s="460"/>
      <c r="R166" s="461"/>
    </row>
    <row r="167" ht="15.75" customHeight="1">
      <c r="C167" s="280"/>
      <c r="D167" s="537"/>
      <c r="E167" s="537"/>
      <c r="F167" s="337"/>
      <c r="G167" s="538"/>
      <c r="H167" s="458"/>
      <c r="I167" s="539"/>
      <c r="J167" s="540"/>
      <c r="P167" s="460"/>
      <c r="R167" s="461"/>
    </row>
    <row r="168" ht="15.75" customHeight="1">
      <c r="C168" s="280"/>
      <c r="D168" s="537"/>
      <c r="E168" s="537"/>
      <c r="F168" s="337"/>
      <c r="G168" s="538"/>
      <c r="H168" s="458"/>
      <c r="I168" s="539"/>
      <c r="J168" s="540"/>
      <c r="P168" s="460"/>
      <c r="R168" s="461"/>
    </row>
    <row r="169" ht="15.75" customHeight="1">
      <c r="C169" s="280"/>
      <c r="D169" s="537"/>
      <c r="E169" s="537"/>
      <c r="F169" s="337"/>
      <c r="G169" s="538"/>
      <c r="H169" s="458"/>
      <c r="I169" s="539"/>
      <c r="J169" s="540"/>
      <c r="P169" s="460"/>
      <c r="R169" s="461"/>
    </row>
    <row r="170" ht="15.75" customHeight="1">
      <c r="C170" s="280"/>
      <c r="D170" s="537"/>
      <c r="E170" s="537"/>
      <c r="F170" s="337"/>
      <c r="G170" s="538"/>
      <c r="H170" s="458"/>
      <c r="I170" s="539"/>
      <c r="J170" s="540"/>
      <c r="P170" s="460"/>
      <c r="R170" s="461"/>
    </row>
    <row r="171" ht="15.75" customHeight="1">
      <c r="C171" s="280"/>
      <c r="D171" s="537"/>
      <c r="E171" s="537"/>
      <c r="F171" s="337"/>
      <c r="G171" s="538"/>
      <c r="H171" s="458"/>
      <c r="I171" s="539"/>
      <c r="J171" s="540"/>
      <c r="P171" s="460"/>
      <c r="R171" s="461"/>
    </row>
    <row r="172" ht="15.75" customHeight="1">
      <c r="C172" s="280"/>
      <c r="D172" s="537"/>
      <c r="E172" s="537"/>
      <c r="F172" s="337"/>
      <c r="G172" s="538"/>
      <c r="H172" s="458"/>
      <c r="I172" s="539"/>
      <c r="J172" s="540"/>
      <c r="P172" s="460"/>
      <c r="R172" s="461"/>
    </row>
    <row r="173" ht="15.75" customHeight="1">
      <c r="C173" s="280"/>
      <c r="D173" s="537"/>
      <c r="E173" s="537"/>
      <c r="F173" s="337"/>
      <c r="G173" s="538"/>
      <c r="H173" s="458"/>
      <c r="I173" s="539"/>
      <c r="J173" s="540"/>
      <c r="P173" s="460"/>
      <c r="R173" s="461"/>
    </row>
    <row r="174" ht="15.75" customHeight="1">
      <c r="C174" s="280"/>
      <c r="D174" s="537"/>
      <c r="E174" s="537"/>
      <c r="F174" s="337"/>
      <c r="G174" s="538"/>
      <c r="H174" s="458"/>
      <c r="I174" s="539"/>
      <c r="J174" s="540"/>
      <c r="P174" s="460"/>
      <c r="R174" s="461"/>
    </row>
    <row r="175" ht="15.75" customHeight="1">
      <c r="C175" s="280"/>
      <c r="D175" s="537"/>
      <c r="E175" s="537"/>
      <c r="F175" s="337"/>
      <c r="G175" s="538"/>
      <c r="H175" s="458"/>
      <c r="I175" s="539"/>
      <c r="J175" s="540"/>
      <c r="P175" s="460"/>
      <c r="R175" s="461"/>
    </row>
    <row r="176" ht="15.75" customHeight="1">
      <c r="C176" s="280"/>
      <c r="D176" s="537"/>
      <c r="E176" s="537"/>
      <c r="F176" s="337"/>
      <c r="G176" s="538"/>
      <c r="H176" s="458"/>
      <c r="I176" s="539"/>
      <c r="J176" s="540"/>
      <c r="P176" s="460"/>
      <c r="R176" s="461"/>
    </row>
    <row r="177" ht="15.75" customHeight="1">
      <c r="C177" s="280"/>
      <c r="D177" s="537"/>
      <c r="E177" s="537"/>
      <c r="F177" s="337"/>
      <c r="G177" s="538"/>
      <c r="H177" s="458"/>
      <c r="I177" s="539"/>
      <c r="J177" s="540"/>
      <c r="P177" s="460"/>
      <c r="R177" s="461"/>
    </row>
    <row r="178" ht="15.75" customHeight="1">
      <c r="C178" s="280"/>
      <c r="D178" s="537"/>
      <c r="E178" s="537"/>
      <c r="F178" s="337"/>
      <c r="G178" s="538"/>
      <c r="H178" s="458"/>
      <c r="I178" s="539"/>
      <c r="J178" s="540"/>
      <c r="P178" s="460"/>
      <c r="R178" s="461"/>
    </row>
    <row r="179" ht="15.75" customHeight="1">
      <c r="C179" s="280"/>
      <c r="D179" s="537"/>
      <c r="E179" s="537"/>
      <c r="F179" s="337"/>
      <c r="G179" s="538"/>
      <c r="H179" s="458"/>
      <c r="I179" s="539"/>
      <c r="J179" s="540"/>
      <c r="P179" s="460"/>
      <c r="R179" s="461"/>
    </row>
    <row r="180" ht="15.75" customHeight="1">
      <c r="C180" s="280"/>
      <c r="D180" s="537"/>
      <c r="E180" s="537"/>
      <c r="F180" s="337"/>
      <c r="G180" s="538"/>
      <c r="H180" s="458"/>
      <c r="I180" s="539"/>
      <c r="J180" s="540"/>
      <c r="P180" s="460"/>
      <c r="R180" s="461"/>
    </row>
    <row r="181" ht="15.75" customHeight="1">
      <c r="C181" s="280"/>
      <c r="D181" s="537"/>
      <c r="E181" s="537"/>
      <c r="F181" s="337"/>
      <c r="G181" s="538"/>
      <c r="H181" s="458"/>
      <c r="I181" s="539"/>
      <c r="J181" s="540"/>
      <c r="P181" s="460"/>
      <c r="R181" s="461"/>
    </row>
    <row r="182" ht="15.75" customHeight="1">
      <c r="C182" s="280"/>
      <c r="D182" s="537"/>
      <c r="E182" s="537"/>
      <c r="F182" s="337"/>
      <c r="G182" s="538"/>
      <c r="H182" s="458"/>
      <c r="I182" s="539"/>
      <c r="J182" s="540"/>
      <c r="P182" s="460"/>
      <c r="R182" s="461"/>
    </row>
    <row r="183" ht="15.75" customHeight="1">
      <c r="C183" s="280"/>
      <c r="D183" s="537"/>
      <c r="E183" s="537"/>
      <c r="F183" s="337"/>
      <c r="G183" s="538"/>
      <c r="H183" s="458"/>
      <c r="I183" s="539"/>
      <c r="J183" s="540"/>
      <c r="P183" s="460"/>
      <c r="R183" s="461"/>
    </row>
    <row r="184" ht="15.75" customHeight="1">
      <c r="C184" s="280"/>
      <c r="D184" s="537"/>
      <c r="E184" s="537"/>
      <c r="F184" s="337"/>
      <c r="G184" s="538"/>
      <c r="H184" s="458"/>
      <c r="I184" s="539"/>
      <c r="J184" s="540"/>
      <c r="P184" s="460"/>
      <c r="R184" s="461"/>
    </row>
    <row r="185" ht="15.75" customHeight="1">
      <c r="C185" s="280"/>
      <c r="D185" s="537"/>
      <c r="E185" s="537"/>
      <c r="F185" s="337"/>
      <c r="G185" s="538"/>
      <c r="H185" s="458"/>
      <c r="I185" s="539"/>
      <c r="J185" s="540"/>
      <c r="P185" s="460"/>
      <c r="R185" s="461"/>
    </row>
    <row r="186" ht="15.75" customHeight="1">
      <c r="C186" s="280"/>
      <c r="D186" s="537"/>
      <c r="E186" s="537"/>
      <c r="F186" s="337"/>
      <c r="G186" s="538"/>
      <c r="H186" s="458"/>
      <c r="I186" s="539"/>
      <c r="J186" s="540"/>
      <c r="P186" s="460"/>
      <c r="R186" s="461"/>
    </row>
    <row r="187" ht="15.75" customHeight="1">
      <c r="C187" s="280"/>
      <c r="D187" s="537"/>
      <c r="E187" s="537"/>
      <c r="F187" s="337"/>
      <c r="G187" s="538"/>
      <c r="H187" s="458"/>
      <c r="I187" s="539"/>
      <c r="J187" s="540"/>
      <c r="P187" s="460"/>
      <c r="R187" s="461"/>
    </row>
    <row r="188" ht="15.75" customHeight="1">
      <c r="C188" s="280"/>
      <c r="D188" s="537"/>
      <c r="E188" s="537"/>
      <c r="F188" s="337"/>
      <c r="G188" s="538"/>
      <c r="H188" s="458"/>
      <c r="I188" s="539"/>
      <c r="J188" s="540"/>
      <c r="P188" s="460"/>
      <c r="R188" s="461"/>
    </row>
    <row r="189" ht="15.75" customHeight="1">
      <c r="C189" s="280"/>
      <c r="D189" s="537"/>
      <c r="E189" s="537"/>
      <c r="F189" s="337"/>
      <c r="G189" s="538"/>
      <c r="H189" s="458"/>
      <c r="I189" s="539"/>
      <c r="J189" s="540"/>
      <c r="P189" s="460"/>
      <c r="R189" s="461"/>
    </row>
    <row r="190" ht="15.75" customHeight="1">
      <c r="C190" s="280"/>
      <c r="D190" s="537"/>
      <c r="E190" s="537"/>
      <c r="F190" s="337"/>
      <c r="G190" s="538"/>
      <c r="H190" s="458"/>
      <c r="I190" s="539"/>
      <c r="J190" s="540"/>
      <c r="P190" s="460"/>
      <c r="R190" s="461"/>
    </row>
    <row r="191" ht="15.75" customHeight="1">
      <c r="C191" s="280"/>
      <c r="D191" s="537"/>
      <c r="E191" s="537"/>
      <c r="F191" s="337"/>
      <c r="G191" s="538"/>
      <c r="H191" s="458"/>
      <c r="I191" s="539"/>
      <c r="J191" s="540"/>
      <c r="P191" s="460"/>
      <c r="R191" s="461"/>
    </row>
    <row r="192" ht="15.75" customHeight="1">
      <c r="C192" s="280"/>
      <c r="D192" s="537"/>
      <c r="E192" s="537"/>
      <c r="F192" s="337"/>
      <c r="G192" s="538"/>
      <c r="H192" s="458"/>
      <c r="I192" s="539"/>
      <c r="J192" s="540"/>
      <c r="P192" s="460"/>
      <c r="R192" s="461"/>
    </row>
    <row r="193" ht="15.75" customHeight="1">
      <c r="C193" s="280"/>
      <c r="D193" s="537"/>
      <c r="E193" s="537"/>
      <c r="F193" s="337"/>
      <c r="G193" s="538"/>
      <c r="H193" s="458"/>
      <c r="I193" s="539"/>
      <c r="J193" s="540"/>
      <c r="P193" s="460"/>
      <c r="R193" s="461"/>
    </row>
    <row r="194" ht="15.75" customHeight="1">
      <c r="C194" s="280"/>
      <c r="D194" s="537"/>
      <c r="E194" s="537"/>
      <c r="F194" s="337"/>
      <c r="G194" s="538"/>
      <c r="H194" s="458"/>
      <c r="I194" s="539"/>
      <c r="J194" s="540"/>
      <c r="P194" s="460"/>
      <c r="R194" s="461"/>
    </row>
    <row r="195" ht="15.75" customHeight="1">
      <c r="C195" s="280"/>
      <c r="D195" s="537"/>
      <c r="E195" s="537"/>
      <c r="F195" s="337"/>
      <c r="G195" s="538"/>
      <c r="H195" s="458"/>
      <c r="I195" s="539"/>
      <c r="J195" s="540"/>
      <c r="P195" s="460"/>
      <c r="R195" s="461"/>
    </row>
    <row r="196" ht="15.75" customHeight="1">
      <c r="C196" s="280"/>
      <c r="D196" s="537"/>
      <c r="E196" s="537"/>
      <c r="F196" s="337"/>
      <c r="G196" s="538"/>
      <c r="H196" s="458"/>
      <c r="I196" s="539"/>
      <c r="J196" s="540"/>
      <c r="P196" s="460"/>
      <c r="R196" s="461"/>
    </row>
    <row r="197" ht="15.75" customHeight="1">
      <c r="C197" s="280"/>
      <c r="D197" s="537"/>
      <c r="E197" s="537"/>
      <c r="F197" s="337"/>
      <c r="G197" s="538"/>
      <c r="H197" s="458"/>
      <c r="I197" s="539"/>
      <c r="J197" s="540"/>
      <c r="P197" s="460"/>
      <c r="R197" s="461"/>
    </row>
    <row r="198" ht="15.75" customHeight="1">
      <c r="C198" s="280"/>
      <c r="D198" s="537"/>
      <c r="E198" s="537"/>
      <c r="F198" s="337"/>
      <c r="G198" s="538"/>
      <c r="H198" s="458"/>
      <c r="I198" s="539"/>
      <c r="J198" s="540"/>
      <c r="P198" s="460"/>
      <c r="R198" s="461"/>
    </row>
    <row r="199" ht="15.75" customHeight="1">
      <c r="C199" s="280"/>
      <c r="D199" s="537"/>
      <c r="E199" s="537"/>
      <c r="F199" s="337"/>
      <c r="G199" s="538"/>
      <c r="H199" s="458"/>
      <c r="I199" s="539"/>
      <c r="J199" s="540"/>
      <c r="P199" s="460"/>
      <c r="R199" s="461"/>
    </row>
    <row r="200" ht="15.75" customHeight="1">
      <c r="C200" s="280"/>
      <c r="D200" s="537"/>
      <c r="E200" s="537"/>
      <c r="F200" s="337"/>
      <c r="G200" s="538"/>
      <c r="H200" s="458"/>
      <c r="I200" s="539"/>
      <c r="J200" s="540"/>
      <c r="P200" s="460"/>
      <c r="R200" s="461"/>
    </row>
    <row r="201" ht="15.75" customHeight="1">
      <c r="C201" s="280"/>
      <c r="D201" s="537"/>
      <c r="E201" s="537"/>
      <c r="F201" s="337"/>
      <c r="G201" s="538"/>
      <c r="H201" s="458"/>
      <c r="I201" s="539"/>
      <c r="J201" s="540"/>
      <c r="P201" s="460"/>
      <c r="R201" s="461"/>
    </row>
    <row r="202" ht="15.75" customHeight="1">
      <c r="C202" s="280"/>
      <c r="D202" s="537"/>
      <c r="E202" s="537"/>
      <c r="F202" s="337"/>
      <c r="G202" s="538"/>
      <c r="H202" s="458"/>
      <c r="I202" s="539"/>
      <c r="J202" s="540"/>
      <c r="P202" s="460"/>
      <c r="R202" s="461"/>
    </row>
    <row r="203" ht="15.75" customHeight="1">
      <c r="C203" s="280"/>
      <c r="D203" s="537"/>
      <c r="E203" s="537"/>
      <c r="F203" s="337"/>
      <c r="G203" s="538"/>
      <c r="H203" s="458"/>
      <c r="I203" s="539"/>
      <c r="J203" s="540"/>
      <c r="P203" s="460"/>
      <c r="R203" s="461"/>
    </row>
    <row r="204" ht="15.75" customHeight="1">
      <c r="C204" s="280"/>
      <c r="D204" s="537"/>
      <c r="E204" s="537"/>
      <c r="F204" s="337"/>
      <c r="G204" s="538"/>
      <c r="H204" s="458"/>
      <c r="I204" s="539"/>
      <c r="J204" s="540"/>
      <c r="P204" s="460"/>
      <c r="R204" s="461"/>
    </row>
    <row r="205" ht="15.75" customHeight="1">
      <c r="C205" s="280"/>
      <c r="D205" s="537"/>
      <c r="E205" s="537"/>
      <c r="F205" s="337"/>
      <c r="G205" s="538"/>
      <c r="H205" s="458"/>
      <c r="I205" s="539"/>
      <c r="J205" s="540"/>
      <c r="P205" s="460"/>
      <c r="R205" s="461"/>
    </row>
    <row r="206" ht="15.75" customHeight="1">
      <c r="C206" s="280"/>
      <c r="D206" s="537"/>
      <c r="E206" s="537"/>
      <c r="F206" s="337"/>
      <c r="G206" s="538"/>
      <c r="H206" s="458"/>
      <c r="I206" s="539"/>
      <c r="J206" s="540"/>
      <c r="P206" s="460"/>
      <c r="R206" s="461"/>
    </row>
    <row r="207" ht="15.75" customHeight="1">
      <c r="C207" s="280"/>
      <c r="D207" s="537"/>
      <c r="E207" s="537"/>
      <c r="F207" s="337"/>
      <c r="G207" s="538"/>
      <c r="H207" s="458"/>
      <c r="I207" s="539"/>
      <c r="J207" s="540"/>
      <c r="P207" s="460"/>
      <c r="R207" s="461"/>
    </row>
    <row r="208" ht="15.75" customHeight="1">
      <c r="C208" s="280"/>
      <c r="D208" s="537"/>
      <c r="E208" s="537"/>
      <c r="F208" s="337"/>
      <c r="G208" s="538"/>
      <c r="H208" s="458"/>
      <c r="I208" s="539"/>
      <c r="J208" s="540"/>
      <c r="P208" s="460"/>
      <c r="R208" s="461"/>
    </row>
    <row r="209" ht="15.75" customHeight="1">
      <c r="C209" s="280"/>
      <c r="D209" s="537"/>
      <c r="E209" s="537"/>
      <c r="F209" s="337"/>
      <c r="G209" s="538"/>
      <c r="H209" s="458"/>
      <c r="I209" s="539"/>
      <c r="J209" s="540"/>
      <c r="P209" s="460"/>
      <c r="R209" s="461"/>
    </row>
    <row r="210" ht="15.75" customHeight="1">
      <c r="C210" s="280"/>
      <c r="D210" s="537"/>
      <c r="E210" s="537"/>
      <c r="F210" s="337"/>
      <c r="G210" s="538"/>
      <c r="H210" s="458"/>
      <c r="I210" s="539"/>
      <c r="J210" s="540"/>
      <c r="P210" s="460"/>
      <c r="R210" s="461"/>
    </row>
    <row r="211" ht="15.75" customHeight="1">
      <c r="C211" s="280"/>
      <c r="D211" s="537"/>
      <c r="E211" s="537"/>
      <c r="F211" s="337"/>
      <c r="G211" s="538"/>
      <c r="H211" s="458"/>
      <c r="I211" s="539"/>
      <c r="J211" s="540"/>
      <c r="P211" s="460"/>
      <c r="R211" s="461"/>
    </row>
    <row r="212" ht="15.75" customHeight="1">
      <c r="C212" s="280"/>
      <c r="D212" s="537"/>
      <c r="E212" s="537"/>
      <c r="F212" s="337"/>
      <c r="G212" s="538"/>
      <c r="H212" s="458"/>
      <c r="I212" s="539"/>
      <c r="J212" s="540"/>
      <c r="P212" s="460"/>
      <c r="R212" s="461"/>
    </row>
    <row r="213" ht="15.75" customHeight="1">
      <c r="C213" s="280"/>
      <c r="D213" s="537"/>
      <c r="E213" s="537"/>
      <c r="F213" s="337"/>
      <c r="G213" s="538"/>
      <c r="H213" s="458"/>
      <c r="I213" s="539"/>
      <c r="J213" s="540"/>
      <c r="P213" s="460"/>
      <c r="R213" s="461"/>
    </row>
    <row r="214" ht="15.75" customHeight="1">
      <c r="C214" s="280"/>
      <c r="D214" s="537"/>
      <c r="E214" s="537"/>
      <c r="F214" s="337"/>
      <c r="G214" s="538"/>
      <c r="H214" s="458"/>
      <c r="I214" s="539"/>
      <c r="J214" s="540"/>
      <c r="P214" s="460"/>
      <c r="R214" s="461"/>
    </row>
    <row r="215" ht="15.75" customHeight="1">
      <c r="C215" s="280"/>
      <c r="D215" s="537"/>
      <c r="E215" s="537"/>
      <c r="F215" s="337"/>
      <c r="G215" s="538"/>
      <c r="H215" s="458"/>
      <c r="I215" s="539"/>
      <c r="J215" s="540"/>
      <c r="P215" s="460"/>
      <c r="R215" s="461"/>
    </row>
    <row r="216" ht="15.75" customHeight="1">
      <c r="C216" s="280"/>
      <c r="D216" s="537"/>
      <c r="E216" s="537"/>
      <c r="F216" s="337"/>
      <c r="G216" s="538"/>
      <c r="H216" s="458"/>
      <c r="I216" s="539"/>
      <c r="J216" s="540"/>
      <c r="P216" s="460"/>
      <c r="R216" s="461"/>
    </row>
    <row r="217" ht="15.75" customHeight="1">
      <c r="C217" s="280"/>
      <c r="D217" s="537"/>
      <c r="E217" s="537"/>
      <c r="F217" s="337"/>
      <c r="G217" s="538"/>
      <c r="H217" s="458"/>
      <c r="I217" s="539"/>
      <c r="J217" s="540"/>
      <c r="P217" s="460"/>
      <c r="R217" s="461"/>
    </row>
    <row r="218" ht="15.75" customHeight="1">
      <c r="C218" s="280"/>
      <c r="D218" s="537"/>
      <c r="E218" s="537"/>
      <c r="F218" s="337"/>
      <c r="G218" s="538"/>
      <c r="H218" s="458"/>
      <c r="I218" s="539"/>
      <c r="J218" s="540"/>
      <c r="P218" s="460"/>
      <c r="R218" s="461"/>
    </row>
    <row r="219" ht="15.75" customHeight="1">
      <c r="C219" s="280"/>
      <c r="D219" s="537"/>
      <c r="E219" s="537"/>
      <c r="F219" s="337"/>
      <c r="G219" s="538"/>
      <c r="H219" s="458"/>
      <c r="I219" s="539"/>
      <c r="J219" s="540"/>
      <c r="P219" s="460"/>
      <c r="R219" s="461"/>
    </row>
    <row r="220" ht="15.75" customHeight="1">
      <c r="C220" s="280"/>
      <c r="D220" s="537"/>
      <c r="E220" s="537"/>
      <c r="F220" s="337"/>
      <c r="G220" s="538"/>
      <c r="H220" s="458"/>
      <c r="I220" s="539"/>
      <c r="J220" s="540"/>
      <c r="P220" s="460"/>
      <c r="R220" s="461"/>
    </row>
    <row r="221" ht="15.75" customHeight="1">
      <c r="C221" s="280"/>
      <c r="D221" s="537"/>
      <c r="E221" s="537"/>
      <c r="F221" s="337"/>
      <c r="G221" s="538"/>
      <c r="H221" s="458"/>
      <c r="I221" s="539"/>
      <c r="J221" s="540"/>
      <c r="P221" s="460"/>
      <c r="R221" s="461"/>
    </row>
    <row r="222" ht="15.75" customHeight="1">
      <c r="C222" s="280"/>
      <c r="D222" s="537"/>
      <c r="E222" s="537"/>
      <c r="F222" s="337"/>
      <c r="G222" s="538"/>
      <c r="H222" s="458"/>
      <c r="I222" s="539"/>
      <c r="J222" s="540"/>
      <c r="P222" s="460"/>
      <c r="R222" s="461"/>
    </row>
    <row r="223" ht="15.75" customHeight="1">
      <c r="C223" s="280"/>
      <c r="D223" s="537"/>
      <c r="E223" s="537"/>
      <c r="F223" s="337"/>
      <c r="G223" s="538"/>
      <c r="H223" s="458"/>
      <c r="I223" s="539"/>
      <c r="J223" s="540"/>
      <c r="P223" s="460"/>
      <c r="R223" s="461"/>
    </row>
    <row r="224" ht="15.75" customHeight="1">
      <c r="C224" s="280"/>
      <c r="D224" s="537"/>
      <c r="E224" s="537"/>
      <c r="F224" s="337"/>
      <c r="G224" s="538"/>
      <c r="H224" s="458"/>
      <c r="I224" s="539"/>
      <c r="J224" s="540"/>
      <c r="P224" s="460"/>
      <c r="R224" s="461"/>
    </row>
    <row r="225" ht="15.75" customHeight="1">
      <c r="C225" s="280"/>
      <c r="D225" s="537"/>
      <c r="E225" s="537"/>
      <c r="F225" s="337"/>
      <c r="G225" s="538"/>
      <c r="H225" s="458"/>
      <c r="I225" s="539"/>
      <c r="J225" s="540"/>
      <c r="P225" s="460"/>
      <c r="R225" s="461"/>
    </row>
    <row r="226" ht="15.75" customHeight="1">
      <c r="C226" s="280"/>
      <c r="D226" s="537"/>
      <c r="E226" s="537"/>
      <c r="F226" s="337"/>
      <c r="G226" s="538"/>
      <c r="H226" s="458"/>
      <c r="I226" s="539"/>
      <c r="J226" s="540"/>
      <c r="P226" s="460"/>
      <c r="R226" s="461"/>
    </row>
    <row r="227" ht="15.75" customHeight="1">
      <c r="C227" s="280"/>
      <c r="D227" s="537"/>
      <c r="E227" s="537"/>
      <c r="F227" s="337"/>
      <c r="G227" s="538"/>
      <c r="H227" s="458"/>
      <c r="I227" s="539"/>
      <c r="J227" s="540"/>
      <c r="P227" s="460"/>
      <c r="R227" s="461"/>
    </row>
    <row r="228" ht="15.75" customHeight="1">
      <c r="C228" s="280"/>
      <c r="D228" s="537"/>
      <c r="E228" s="537"/>
      <c r="F228" s="337"/>
      <c r="G228" s="538"/>
      <c r="H228" s="458"/>
      <c r="I228" s="539"/>
      <c r="J228" s="540"/>
      <c r="P228" s="460"/>
      <c r="R228" s="461"/>
    </row>
    <row r="229" ht="15.75" customHeight="1">
      <c r="C229" s="280"/>
      <c r="D229" s="537"/>
      <c r="E229" s="537"/>
      <c r="F229" s="337"/>
      <c r="G229" s="538"/>
      <c r="H229" s="458"/>
      <c r="I229" s="539"/>
      <c r="J229" s="540"/>
      <c r="P229" s="460"/>
      <c r="R229" s="461"/>
    </row>
    <row r="230" ht="15.75" customHeight="1">
      <c r="C230" s="280"/>
      <c r="D230" s="537"/>
      <c r="E230" s="537"/>
      <c r="F230" s="337"/>
      <c r="G230" s="538"/>
      <c r="H230" s="458"/>
      <c r="I230" s="539"/>
      <c r="J230" s="540"/>
      <c r="P230" s="460"/>
      <c r="R230" s="461"/>
    </row>
    <row r="231" ht="15.75" customHeight="1">
      <c r="C231" s="280"/>
      <c r="D231" s="537"/>
      <c r="E231" s="537"/>
      <c r="F231" s="337"/>
      <c r="G231" s="538"/>
      <c r="H231" s="458"/>
      <c r="I231" s="539"/>
      <c r="J231" s="540"/>
      <c r="P231" s="460"/>
      <c r="R231" s="461"/>
    </row>
    <row r="232" ht="15.75" customHeight="1">
      <c r="C232" s="280"/>
      <c r="D232" s="537"/>
      <c r="E232" s="537"/>
      <c r="F232" s="337"/>
      <c r="G232" s="538"/>
      <c r="H232" s="458"/>
      <c r="I232" s="539"/>
      <c r="J232" s="540"/>
      <c r="P232" s="460"/>
      <c r="R232" s="461"/>
    </row>
    <row r="233" ht="15.75" customHeight="1">
      <c r="C233" s="280"/>
      <c r="D233" s="537"/>
      <c r="E233" s="537"/>
      <c r="F233" s="337"/>
      <c r="G233" s="538"/>
      <c r="H233" s="458"/>
      <c r="I233" s="539"/>
      <c r="J233" s="540"/>
      <c r="P233" s="460"/>
      <c r="R233" s="461"/>
    </row>
    <row r="234" ht="15.75" customHeight="1">
      <c r="C234" s="280"/>
      <c r="D234" s="537"/>
      <c r="E234" s="537"/>
      <c r="F234" s="337"/>
      <c r="G234" s="538"/>
      <c r="H234" s="458"/>
      <c r="I234" s="539"/>
      <c r="J234" s="540"/>
      <c r="P234" s="460"/>
      <c r="R234" s="461"/>
    </row>
    <row r="235" ht="15.75" customHeight="1">
      <c r="C235" s="280"/>
      <c r="D235" s="537"/>
      <c r="E235" s="537"/>
      <c r="F235" s="337"/>
      <c r="G235" s="538"/>
      <c r="H235" s="458"/>
      <c r="I235" s="539"/>
      <c r="J235" s="540"/>
      <c r="P235" s="460"/>
      <c r="R235" s="461"/>
    </row>
    <row r="236" ht="15.75" customHeight="1">
      <c r="C236" s="280"/>
      <c r="D236" s="537"/>
      <c r="E236" s="537"/>
      <c r="F236" s="337"/>
      <c r="G236" s="538"/>
      <c r="H236" s="458"/>
      <c r="I236" s="539"/>
      <c r="J236" s="540"/>
      <c r="P236" s="460"/>
      <c r="R236" s="461"/>
    </row>
    <row r="237" ht="15.75" customHeight="1">
      <c r="D237" s="541"/>
      <c r="E237" s="542"/>
      <c r="F237" s="392"/>
      <c r="P237" s="460"/>
    </row>
    <row r="238" ht="15.75" customHeight="1">
      <c r="D238" s="541"/>
      <c r="E238" s="542"/>
      <c r="F238" s="392"/>
      <c r="P238" s="460"/>
    </row>
    <row r="239" ht="15.75" customHeight="1">
      <c r="D239" s="541"/>
      <c r="E239" s="542"/>
      <c r="F239" s="392"/>
      <c r="P239" s="460"/>
    </row>
    <row r="240" ht="15.75" customHeight="1">
      <c r="D240" s="541"/>
      <c r="E240" s="542"/>
      <c r="F240" s="392"/>
      <c r="P240" s="460"/>
    </row>
    <row r="241" ht="15.75" customHeight="1">
      <c r="D241" s="541"/>
      <c r="E241" s="542"/>
      <c r="F241" s="392"/>
      <c r="P241" s="460"/>
    </row>
    <row r="242" ht="15.75" customHeight="1">
      <c r="D242" s="541"/>
      <c r="E242" s="542"/>
      <c r="F242" s="392"/>
      <c r="P242" s="460"/>
    </row>
    <row r="243" ht="15.75" customHeight="1">
      <c r="D243" s="541"/>
      <c r="E243" s="542"/>
      <c r="F243" s="392"/>
      <c r="P243" s="460"/>
    </row>
    <row r="244" ht="15.75" customHeight="1">
      <c r="D244" s="541"/>
      <c r="E244" s="542"/>
      <c r="F244" s="392"/>
      <c r="P244" s="460"/>
    </row>
    <row r="245" ht="15.75" customHeight="1">
      <c r="D245" s="541"/>
      <c r="E245" s="542"/>
      <c r="F245" s="392"/>
      <c r="P245" s="460"/>
    </row>
    <row r="246" ht="15.75" customHeight="1">
      <c r="D246" s="541"/>
      <c r="E246" s="542"/>
      <c r="F246" s="392"/>
      <c r="P246" s="460"/>
    </row>
    <row r="247" ht="15.75" customHeight="1">
      <c r="D247" s="541"/>
      <c r="E247" s="542"/>
      <c r="F247" s="392"/>
      <c r="P247" s="460"/>
    </row>
    <row r="248" ht="15.75" customHeight="1">
      <c r="D248" s="541"/>
      <c r="E248" s="542"/>
      <c r="F248" s="392"/>
      <c r="P248" s="460"/>
    </row>
    <row r="249" ht="15.75" customHeight="1">
      <c r="D249" s="541"/>
      <c r="E249" s="542"/>
      <c r="F249" s="392"/>
      <c r="P249" s="460"/>
    </row>
    <row r="250" ht="15.75" customHeight="1">
      <c r="D250" s="541"/>
      <c r="E250" s="542"/>
      <c r="F250" s="392"/>
      <c r="P250" s="460"/>
    </row>
    <row r="251" ht="15.75" customHeight="1">
      <c r="D251" s="541"/>
      <c r="E251" s="542"/>
      <c r="F251" s="392"/>
      <c r="P251" s="460"/>
    </row>
    <row r="252" ht="15.75" customHeight="1">
      <c r="D252" s="541"/>
      <c r="E252" s="542"/>
      <c r="F252" s="392"/>
      <c r="P252" s="460"/>
    </row>
    <row r="253" ht="15.75" customHeight="1">
      <c r="D253" s="541"/>
      <c r="E253" s="542"/>
      <c r="F253" s="392"/>
      <c r="P253" s="460"/>
    </row>
    <row r="254" ht="15.75" customHeight="1">
      <c r="D254" s="541"/>
      <c r="E254" s="542"/>
      <c r="F254" s="392"/>
      <c r="P254" s="460"/>
    </row>
    <row r="255" ht="15.75" customHeight="1">
      <c r="D255" s="541"/>
      <c r="E255" s="542"/>
      <c r="F255" s="392"/>
      <c r="P255" s="460"/>
    </row>
    <row r="256" ht="15.75" customHeight="1">
      <c r="D256" s="541"/>
      <c r="E256" s="542"/>
      <c r="F256" s="392"/>
      <c r="P256" s="460"/>
    </row>
    <row r="257" ht="15.75" customHeight="1">
      <c r="D257" s="541"/>
      <c r="E257" s="542"/>
      <c r="F257" s="392"/>
      <c r="P257" s="460"/>
    </row>
    <row r="258" ht="15.75" customHeight="1">
      <c r="D258" s="541"/>
      <c r="E258" s="542"/>
      <c r="F258" s="392"/>
      <c r="P258" s="460"/>
    </row>
    <row r="259" ht="15.75" customHeight="1">
      <c r="D259" s="541"/>
      <c r="E259" s="542"/>
      <c r="F259" s="392"/>
      <c r="P259" s="460"/>
    </row>
    <row r="260" ht="15.75" customHeight="1">
      <c r="D260" s="541"/>
      <c r="E260" s="542"/>
      <c r="F260" s="392"/>
      <c r="P260" s="460"/>
    </row>
    <row r="261" ht="15.75" customHeight="1">
      <c r="D261" s="541"/>
      <c r="E261" s="542"/>
      <c r="F261" s="392"/>
      <c r="P261" s="460"/>
    </row>
    <row r="262" ht="15.75" customHeight="1">
      <c r="D262" s="541"/>
      <c r="E262" s="542"/>
      <c r="F262" s="392"/>
      <c r="P262" s="460"/>
    </row>
    <row r="263" ht="15.75" customHeight="1">
      <c r="D263" s="541"/>
      <c r="E263" s="542"/>
      <c r="F263" s="392"/>
      <c r="P263" s="460"/>
    </row>
    <row r="264" ht="15.75" customHeight="1">
      <c r="D264" s="541"/>
      <c r="E264" s="542"/>
      <c r="F264" s="392"/>
      <c r="P264" s="460"/>
    </row>
    <row r="265" ht="15.75" customHeight="1">
      <c r="D265" s="541"/>
      <c r="E265" s="542"/>
      <c r="F265" s="392"/>
      <c r="P265" s="460"/>
    </row>
    <row r="266" ht="15.75" customHeight="1">
      <c r="D266" s="541"/>
      <c r="E266" s="542"/>
      <c r="F266" s="392"/>
      <c r="P266" s="460"/>
    </row>
    <row r="267" ht="15.75" customHeight="1">
      <c r="D267" s="541"/>
      <c r="E267" s="542"/>
      <c r="F267" s="392"/>
      <c r="P267" s="460"/>
    </row>
    <row r="268" ht="15.75" customHeight="1">
      <c r="D268" s="541"/>
      <c r="E268" s="542"/>
      <c r="F268" s="392"/>
      <c r="P268" s="460"/>
    </row>
    <row r="269" ht="15.75" customHeight="1">
      <c r="D269" s="541"/>
      <c r="E269" s="542"/>
      <c r="F269" s="392"/>
      <c r="P269" s="460"/>
    </row>
    <row r="270" ht="15.75" customHeight="1">
      <c r="D270" s="541"/>
      <c r="E270" s="542"/>
      <c r="F270" s="392"/>
      <c r="P270" s="460"/>
    </row>
    <row r="271" ht="15.75" customHeight="1">
      <c r="D271" s="541"/>
      <c r="E271" s="542"/>
      <c r="F271" s="392"/>
      <c r="P271" s="460"/>
    </row>
    <row r="272" ht="15.75" customHeight="1">
      <c r="D272" s="541"/>
      <c r="E272" s="542"/>
      <c r="F272" s="392"/>
      <c r="P272" s="460"/>
    </row>
    <row r="273" ht="15.75" customHeight="1">
      <c r="D273" s="541"/>
      <c r="E273" s="542"/>
      <c r="F273" s="392"/>
      <c r="P273" s="460"/>
    </row>
    <row r="274" ht="15.75" customHeight="1">
      <c r="D274" s="541"/>
      <c r="E274" s="542"/>
      <c r="F274" s="392"/>
      <c r="P274" s="460"/>
    </row>
    <row r="275" ht="15.75" customHeight="1">
      <c r="D275" s="541"/>
      <c r="E275" s="542"/>
      <c r="F275" s="392"/>
      <c r="P275" s="460"/>
    </row>
    <row r="276" ht="15.75" customHeight="1">
      <c r="D276" s="541"/>
      <c r="E276" s="542"/>
      <c r="F276" s="392"/>
      <c r="P276" s="460"/>
    </row>
    <row r="277" ht="15.75" customHeight="1">
      <c r="D277" s="541"/>
      <c r="E277" s="542"/>
      <c r="F277" s="392"/>
      <c r="P277" s="460"/>
    </row>
    <row r="278" ht="15.75" customHeight="1">
      <c r="D278" s="541"/>
      <c r="E278" s="542"/>
      <c r="F278" s="392"/>
      <c r="P278" s="460"/>
    </row>
    <row r="279" ht="15.75" customHeight="1">
      <c r="D279" s="541"/>
      <c r="E279" s="542"/>
      <c r="F279" s="392"/>
      <c r="P279" s="460"/>
    </row>
    <row r="280" ht="15.75" customHeight="1">
      <c r="D280" s="541"/>
      <c r="E280" s="542"/>
      <c r="F280" s="392"/>
      <c r="P280" s="460"/>
    </row>
    <row r="281" ht="15.75" customHeight="1">
      <c r="D281" s="541"/>
      <c r="E281" s="542"/>
      <c r="F281" s="392"/>
      <c r="P281" s="460"/>
    </row>
    <row r="282" ht="15.75" customHeight="1">
      <c r="D282" s="541"/>
      <c r="E282" s="542"/>
      <c r="F282" s="392"/>
      <c r="P282" s="460"/>
    </row>
    <row r="283" ht="15.75" customHeight="1">
      <c r="D283" s="541"/>
      <c r="E283" s="542"/>
      <c r="F283" s="392"/>
      <c r="P283" s="460"/>
    </row>
    <row r="284" ht="15.75" customHeight="1">
      <c r="D284" s="541"/>
      <c r="E284" s="542"/>
      <c r="F284" s="392"/>
      <c r="P284" s="460"/>
    </row>
    <row r="285" ht="15.75" customHeight="1">
      <c r="D285" s="541"/>
      <c r="E285" s="542"/>
      <c r="F285" s="392"/>
      <c r="P285" s="460"/>
    </row>
    <row r="286" ht="15.75" customHeight="1">
      <c r="D286" s="541"/>
      <c r="E286" s="542"/>
      <c r="F286" s="392"/>
      <c r="P286" s="460"/>
    </row>
    <row r="287" ht="15.75" customHeight="1">
      <c r="D287" s="541"/>
      <c r="E287" s="542"/>
      <c r="F287" s="392"/>
      <c r="P287" s="460"/>
    </row>
    <row r="288" ht="15.75" customHeight="1">
      <c r="D288" s="541"/>
      <c r="E288" s="542"/>
      <c r="F288" s="392"/>
      <c r="P288" s="460"/>
    </row>
    <row r="289" ht="15.75" customHeight="1">
      <c r="D289" s="541"/>
      <c r="E289" s="542"/>
      <c r="F289" s="392"/>
      <c r="P289" s="460"/>
    </row>
    <row r="290" ht="15.75" customHeight="1">
      <c r="D290" s="541"/>
      <c r="E290" s="542"/>
      <c r="F290" s="392"/>
      <c r="P290" s="460"/>
    </row>
    <row r="291" ht="15.75" customHeight="1">
      <c r="D291" s="541"/>
      <c r="E291" s="542"/>
      <c r="F291" s="392"/>
      <c r="P291" s="460"/>
    </row>
    <row r="292" ht="15.75" customHeight="1">
      <c r="D292" s="541"/>
      <c r="E292" s="542"/>
      <c r="F292" s="392"/>
      <c r="P292" s="460"/>
    </row>
    <row r="293" ht="15.75" customHeight="1">
      <c r="D293" s="541"/>
      <c r="E293" s="542"/>
      <c r="F293" s="392"/>
      <c r="P293" s="460"/>
    </row>
    <row r="294" ht="15.75" customHeight="1">
      <c r="D294" s="541"/>
      <c r="E294" s="542"/>
      <c r="F294" s="392"/>
      <c r="P294" s="460"/>
    </row>
    <row r="295" ht="15.75" customHeight="1">
      <c r="D295" s="541"/>
      <c r="E295" s="542"/>
      <c r="F295" s="392"/>
      <c r="P295" s="460"/>
    </row>
    <row r="296" ht="15.75" customHeight="1">
      <c r="D296" s="541"/>
      <c r="E296" s="542"/>
      <c r="F296" s="392"/>
      <c r="P296" s="460"/>
    </row>
    <row r="297" ht="15.75" customHeight="1">
      <c r="D297" s="541"/>
      <c r="E297" s="542"/>
      <c r="F297" s="392"/>
      <c r="P297" s="460"/>
    </row>
    <row r="298" ht="15.75" customHeight="1">
      <c r="D298" s="541"/>
      <c r="E298" s="542"/>
      <c r="F298" s="392"/>
      <c r="P298" s="460"/>
    </row>
    <row r="299" ht="15.75" customHeight="1">
      <c r="D299" s="541"/>
      <c r="E299" s="542"/>
      <c r="F299" s="392"/>
      <c r="P299" s="460"/>
    </row>
    <row r="300" ht="15.75" customHeight="1">
      <c r="D300" s="541"/>
      <c r="E300" s="542"/>
      <c r="F300" s="392"/>
      <c r="P300" s="460"/>
    </row>
    <row r="301" ht="15.75" customHeight="1">
      <c r="D301" s="541"/>
      <c r="E301" s="542"/>
      <c r="F301" s="392"/>
      <c r="P301" s="460"/>
    </row>
    <row r="302" ht="15.75" customHeight="1">
      <c r="D302" s="541"/>
      <c r="E302" s="542"/>
      <c r="F302" s="392"/>
      <c r="P302" s="460"/>
    </row>
    <row r="303" ht="15.75" customHeight="1">
      <c r="D303" s="541"/>
      <c r="E303" s="542"/>
      <c r="F303" s="392"/>
      <c r="P303" s="460"/>
    </row>
    <row r="304" ht="15.75" customHeight="1">
      <c r="D304" s="541"/>
      <c r="E304" s="542"/>
      <c r="F304" s="392"/>
      <c r="P304" s="460"/>
    </row>
    <row r="305" ht="15.75" customHeight="1">
      <c r="D305" s="541"/>
      <c r="E305" s="542"/>
      <c r="F305" s="392"/>
      <c r="P305" s="460"/>
    </row>
    <row r="306" ht="15.75" customHeight="1">
      <c r="D306" s="541"/>
      <c r="E306" s="542"/>
      <c r="F306" s="392"/>
      <c r="P306" s="460"/>
    </row>
    <row r="307" ht="15.75" customHeight="1">
      <c r="D307" s="541"/>
      <c r="E307" s="542"/>
      <c r="F307" s="392"/>
      <c r="P307" s="460"/>
    </row>
    <row r="308" ht="15.75" customHeight="1">
      <c r="D308" s="541"/>
      <c r="E308" s="542"/>
      <c r="F308" s="392"/>
      <c r="P308" s="460"/>
    </row>
    <row r="309" ht="15.75" customHeight="1">
      <c r="D309" s="541"/>
      <c r="E309" s="542"/>
      <c r="F309" s="392"/>
      <c r="P309" s="460"/>
    </row>
    <row r="310" ht="15.75" customHeight="1">
      <c r="D310" s="541"/>
      <c r="E310" s="542"/>
      <c r="F310" s="392"/>
      <c r="P310" s="460"/>
    </row>
    <row r="311" ht="15.75" customHeight="1">
      <c r="D311" s="541"/>
      <c r="E311" s="542"/>
      <c r="F311" s="392"/>
      <c r="P311" s="460"/>
    </row>
    <row r="312" ht="15.75" customHeight="1">
      <c r="D312" s="541"/>
      <c r="E312" s="542"/>
      <c r="F312" s="392"/>
      <c r="P312" s="460"/>
    </row>
    <row r="313" ht="15.75" customHeight="1">
      <c r="D313" s="541"/>
      <c r="E313" s="542"/>
      <c r="F313" s="392"/>
      <c r="P313" s="460"/>
    </row>
    <row r="314" ht="15.75" customHeight="1">
      <c r="D314" s="541"/>
      <c r="E314" s="542"/>
      <c r="F314" s="392"/>
      <c r="P314" s="460"/>
    </row>
    <row r="315" ht="15.75" customHeight="1">
      <c r="D315" s="541"/>
      <c r="E315" s="542"/>
      <c r="F315" s="392"/>
      <c r="P315" s="460"/>
    </row>
    <row r="316" ht="15.75" customHeight="1">
      <c r="D316" s="541"/>
      <c r="E316" s="542"/>
      <c r="F316" s="392"/>
      <c r="P316" s="460"/>
    </row>
    <row r="317" ht="15.75" customHeight="1">
      <c r="D317" s="541"/>
      <c r="E317" s="542"/>
      <c r="F317" s="392"/>
      <c r="P317" s="460"/>
    </row>
    <row r="318" ht="15.75" customHeight="1">
      <c r="D318" s="541"/>
      <c r="E318" s="542"/>
      <c r="F318" s="392"/>
      <c r="P318" s="460"/>
    </row>
    <row r="319" ht="15.75" customHeight="1">
      <c r="D319" s="541"/>
      <c r="E319" s="542"/>
      <c r="F319" s="392"/>
      <c r="P319" s="460"/>
    </row>
    <row r="320" ht="15.75" customHeight="1">
      <c r="D320" s="541"/>
      <c r="E320" s="542"/>
      <c r="F320" s="392"/>
      <c r="P320" s="460"/>
    </row>
    <row r="321" ht="15.75" customHeight="1">
      <c r="D321" s="541"/>
      <c r="E321" s="542"/>
      <c r="F321" s="392"/>
      <c r="P321" s="460"/>
    </row>
    <row r="322" ht="15.75" customHeight="1">
      <c r="D322" s="541"/>
      <c r="E322" s="542"/>
      <c r="F322" s="392"/>
      <c r="P322" s="460"/>
    </row>
    <row r="323" ht="15.75" customHeight="1">
      <c r="D323" s="541"/>
      <c r="E323" s="542"/>
      <c r="F323" s="392"/>
      <c r="P323" s="460"/>
    </row>
    <row r="324" ht="15.75" customHeight="1">
      <c r="D324" s="541"/>
      <c r="E324" s="542"/>
      <c r="F324" s="392"/>
      <c r="P324" s="460"/>
    </row>
    <row r="325" ht="15.75" customHeight="1">
      <c r="D325" s="541"/>
      <c r="E325" s="542"/>
      <c r="F325" s="392"/>
      <c r="P325" s="460"/>
    </row>
    <row r="326" ht="15.75" customHeight="1">
      <c r="D326" s="541"/>
      <c r="E326" s="542"/>
      <c r="F326" s="392"/>
      <c r="P326" s="460"/>
    </row>
    <row r="327" ht="15.75" customHeight="1">
      <c r="D327" s="541"/>
      <c r="E327" s="542"/>
      <c r="F327" s="392"/>
      <c r="P327" s="460"/>
    </row>
    <row r="328" ht="15.75" customHeight="1">
      <c r="D328" s="541"/>
      <c r="E328" s="542"/>
      <c r="F328" s="392"/>
      <c r="P328" s="460"/>
    </row>
    <row r="329" ht="15.75" customHeight="1">
      <c r="D329" s="541"/>
      <c r="E329" s="542"/>
      <c r="F329" s="392"/>
      <c r="P329" s="460"/>
    </row>
    <row r="330" ht="15.75" customHeight="1">
      <c r="D330" s="541"/>
      <c r="E330" s="542"/>
      <c r="F330" s="392"/>
      <c r="P330" s="460"/>
    </row>
    <row r="331" ht="15.75" customHeight="1">
      <c r="D331" s="541"/>
      <c r="E331" s="542"/>
      <c r="F331" s="392"/>
      <c r="P331" s="460"/>
    </row>
    <row r="332" ht="15.75" customHeight="1">
      <c r="D332" s="541"/>
      <c r="E332" s="542"/>
      <c r="F332" s="392"/>
      <c r="P332" s="460"/>
    </row>
    <row r="333" ht="15.75" customHeight="1">
      <c r="D333" s="541"/>
      <c r="E333" s="542"/>
      <c r="F333" s="392"/>
      <c r="P333" s="460"/>
    </row>
    <row r="334" ht="15.75" customHeight="1">
      <c r="D334" s="541"/>
      <c r="E334" s="542"/>
      <c r="F334" s="392"/>
      <c r="P334" s="460"/>
    </row>
    <row r="335" ht="15.75" customHeight="1">
      <c r="D335" s="541"/>
      <c r="E335" s="542"/>
      <c r="F335" s="392"/>
      <c r="P335" s="460"/>
    </row>
    <row r="336" ht="15.75" customHeight="1">
      <c r="D336" s="541"/>
      <c r="E336" s="542"/>
      <c r="F336" s="392"/>
      <c r="P336" s="460"/>
    </row>
    <row r="337" ht="15.75" customHeight="1">
      <c r="D337" s="541"/>
      <c r="E337" s="542"/>
      <c r="F337" s="392"/>
      <c r="P337" s="460"/>
    </row>
    <row r="338" ht="15.75" customHeight="1">
      <c r="D338" s="541"/>
      <c r="E338" s="542"/>
      <c r="F338" s="392"/>
      <c r="P338" s="460"/>
    </row>
    <row r="339" ht="15.75" customHeight="1">
      <c r="D339" s="541"/>
      <c r="E339" s="542"/>
      <c r="F339" s="392"/>
      <c r="P339" s="460"/>
    </row>
    <row r="340" ht="15.75" customHeight="1">
      <c r="D340" s="541"/>
      <c r="E340" s="542"/>
      <c r="F340" s="392"/>
      <c r="P340" s="460"/>
    </row>
    <row r="341" ht="15.75" customHeight="1">
      <c r="D341" s="541"/>
      <c r="E341" s="542"/>
      <c r="F341" s="392"/>
      <c r="P341" s="460"/>
    </row>
    <row r="342" ht="15.75" customHeight="1">
      <c r="D342" s="541"/>
      <c r="E342" s="542"/>
      <c r="F342" s="392"/>
      <c r="P342" s="460"/>
    </row>
    <row r="343" ht="15.75" customHeight="1">
      <c r="D343" s="541"/>
      <c r="E343" s="542"/>
      <c r="F343" s="392"/>
      <c r="P343" s="460"/>
    </row>
    <row r="344" ht="15.75" customHeight="1">
      <c r="D344" s="541"/>
      <c r="E344" s="542"/>
      <c r="F344" s="392"/>
      <c r="P344" s="460"/>
    </row>
    <row r="345" ht="15.75" customHeight="1">
      <c r="D345" s="541"/>
      <c r="E345" s="542"/>
      <c r="F345" s="392"/>
      <c r="P345" s="460"/>
    </row>
    <row r="346" ht="15.75" customHeight="1">
      <c r="D346" s="541"/>
      <c r="E346" s="542"/>
      <c r="F346" s="392"/>
      <c r="P346" s="460"/>
    </row>
    <row r="347" ht="15.75" customHeight="1">
      <c r="D347" s="541"/>
      <c r="E347" s="542"/>
      <c r="F347" s="392"/>
      <c r="P347" s="460"/>
    </row>
    <row r="348" ht="15.75" customHeight="1">
      <c r="D348" s="541"/>
      <c r="E348" s="542"/>
      <c r="F348" s="392"/>
      <c r="P348" s="460"/>
    </row>
    <row r="349" ht="15.75" customHeight="1">
      <c r="D349" s="541"/>
      <c r="E349" s="542"/>
      <c r="F349" s="392"/>
      <c r="P349" s="460"/>
    </row>
    <row r="350" ht="15.75" customHeight="1">
      <c r="D350" s="541"/>
      <c r="E350" s="542"/>
      <c r="F350" s="392"/>
      <c r="P350" s="460"/>
    </row>
    <row r="351" ht="15.75" customHeight="1">
      <c r="D351" s="541"/>
      <c r="E351" s="542"/>
      <c r="F351" s="392"/>
      <c r="P351" s="460"/>
    </row>
    <row r="352" ht="15.75" customHeight="1">
      <c r="D352" s="541"/>
      <c r="E352" s="542"/>
      <c r="F352" s="392"/>
      <c r="P352" s="460"/>
    </row>
    <row r="353" ht="15.75" customHeight="1">
      <c r="D353" s="541"/>
      <c r="E353" s="542"/>
      <c r="F353" s="392"/>
      <c r="P353" s="460"/>
    </row>
    <row r="354" ht="15.75" customHeight="1">
      <c r="D354" s="541"/>
      <c r="E354" s="542"/>
      <c r="F354" s="392"/>
      <c r="P354" s="460"/>
    </row>
    <row r="355" ht="15.75" customHeight="1">
      <c r="D355" s="541"/>
      <c r="E355" s="542"/>
      <c r="F355" s="392"/>
      <c r="P355" s="460"/>
    </row>
    <row r="356" ht="15.75" customHeight="1">
      <c r="D356" s="541"/>
      <c r="E356" s="542"/>
      <c r="F356" s="392"/>
      <c r="P356" s="460"/>
    </row>
    <row r="357" ht="15.75" customHeight="1">
      <c r="D357" s="541"/>
      <c r="E357" s="542"/>
      <c r="F357" s="392"/>
      <c r="P357" s="460"/>
    </row>
    <row r="358" ht="15.75" customHeight="1">
      <c r="D358" s="541"/>
      <c r="E358" s="542"/>
      <c r="F358" s="392"/>
      <c r="P358" s="460"/>
    </row>
    <row r="359" ht="15.75" customHeight="1">
      <c r="D359" s="541"/>
      <c r="E359" s="542"/>
      <c r="F359" s="392"/>
      <c r="P359" s="460"/>
    </row>
    <row r="360" ht="15.75" customHeight="1">
      <c r="D360" s="541"/>
      <c r="E360" s="542"/>
      <c r="F360" s="392"/>
      <c r="P360" s="460"/>
    </row>
    <row r="361" ht="15.75" customHeight="1">
      <c r="D361" s="541"/>
      <c r="E361" s="542"/>
      <c r="F361" s="392"/>
      <c r="P361" s="460"/>
    </row>
    <row r="362" ht="15.75" customHeight="1">
      <c r="D362" s="541"/>
      <c r="E362" s="542"/>
      <c r="F362" s="392"/>
      <c r="P362" s="460"/>
    </row>
    <row r="363" ht="15.75" customHeight="1">
      <c r="D363" s="541"/>
      <c r="E363" s="542"/>
      <c r="F363" s="392"/>
      <c r="P363" s="460"/>
    </row>
    <row r="364" ht="15.75" customHeight="1">
      <c r="D364" s="541"/>
      <c r="E364" s="542"/>
      <c r="F364" s="392"/>
      <c r="P364" s="460"/>
    </row>
    <row r="365" ht="15.75" customHeight="1">
      <c r="D365" s="541"/>
      <c r="E365" s="542"/>
      <c r="F365" s="392"/>
      <c r="P365" s="460"/>
    </row>
    <row r="366" ht="15.75" customHeight="1">
      <c r="D366" s="541"/>
      <c r="E366" s="542"/>
      <c r="F366" s="392"/>
      <c r="P366" s="460"/>
    </row>
    <row r="367" ht="15.75" customHeight="1">
      <c r="D367" s="541"/>
      <c r="E367" s="542"/>
      <c r="F367" s="392"/>
      <c r="P367" s="460"/>
    </row>
    <row r="368" ht="15.75" customHeight="1">
      <c r="D368" s="541"/>
      <c r="E368" s="542"/>
      <c r="F368" s="392"/>
      <c r="P368" s="460"/>
    </row>
    <row r="369" ht="15.75" customHeight="1">
      <c r="D369" s="541"/>
      <c r="E369" s="542"/>
      <c r="F369" s="392"/>
      <c r="P369" s="460"/>
    </row>
    <row r="370" ht="15.75" customHeight="1">
      <c r="D370" s="541"/>
      <c r="E370" s="542"/>
      <c r="F370" s="392"/>
      <c r="P370" s="460"/>
    </row>
    <row r="371" ht="15.75" customHeight="1">
      <c r="D371" s="541"/>
      <c r="E371" s="542"/>
      <c r="F371" s="392"/>
      <c r="P371" s="460"/>
    </row>
    <row r="372" ht="15.75" customHeight="1">
      <c r="D372" s="541"/>
      <c r="E372" s="542"/>
      <c r="F372" s="392"/>
      <c r="P372" s="460"/>
    </row>
    <row r="373" ht="15.75" customHeight="1">
      <c r="D373" s="541"/>
      <c r="E373" s="542"/>
      <c r="F373" s="392"/>
      <c r="P373" s="460"/>
    </row>
    <row r="374" ht="15.75" customHeight="1">
      <c r="D374" s="541"/>
      <c r="E374" s="542"/>
      <c r="F374" s="392"/>
      <c r="P374" s="460"/>
    </row>
    <row r="375" ht="15.75" customHeight="1">
      <c r="D375" s="541"/>
      <c r="E375" s="542"/>
      <c r="F375" s="392"/>
      <c r="P375" s="460"/>
    </row>
    <row r="376" ht="15.75" customHeight="1">
      <c r="D376" s="541"/>
      <c r="E376" s="542"/>
      <c r="F376" s="392"/>
      <c r="P376" s="460"/>
    </row>
    <row r="377" ht="15.75" customHeight="1">
      <c r="D377" s="541"/>
      <c r="E377" s="542"/>
      <c r="F377" s="392"/>
      <c r="P377" s="460"/>
    </row>
    <row r="378" ht="15.75" customHeight="1">
      <c r="D378" s="541"/>
      <c r="E378" s="542"/>
      <c r="F378" s="392"/>
      <c r="P378" s="460"/>
    </row>
    <row r="379" ht="15.75" customHeight="1">
      <c r="D379" s="541"/>
      <c r="E379" s="542"/>
      <c r="F379" s="392"/>
      <c r="P379" s="460"/>
    </row>
    <row r="380" ht="15.75" customHeight="1">
      <c r="D380" s="541"/>
      <c r="E380" s="542"/>
      <c r="F380" s="392"/>
      <c r="P380" s="460"/>
    </row>
    <row r="381" ht="15.75" customHeight="1">
      <c r="D381" s="541"/>
      <c r="E381" s="542"/>
      <c r="F381" s="392"/>
      <c r="P381" s="460"/>
    </row>
    <row r="382" ht="15.75" customHeight="1">
      <c r="D382" s="541"/>
      <c r="E382" s="542"/>
      <c r="F382" s="392"/>
      <c r="P382" s="460"/>
    </row>
    <row r="383" ht="15.75" customHeight="1">
      <c r="D383" s="541"/>
      <c r="E383" s="542"/>
      <c r="F383" s="392"/>
      <c r="P383" s="460"/>
    </row>
    <row r="384" ht="15.75" customHeight="1">
      <c r="D384" s="541"/>
      <c r="E384" s="542"/>
      <c r="F384" s="392"/>
      <c r="P384" s="460"/>
    </row>
    <row r="385" ht="15.75" customHeight="1">
      <c r="D385" s="541"/>
      <c r="E385" s="542"/>
      <c r="F385" s="392"/>
      <c r="P385" s="460"/>
    </row>
    <row r="386" ht="15.75" customHeight="1">
      <c r="D386" s="541"/>
      <c r="E386" s="542"/>
      <c r="F386" s="392"/>
      <c r="P386" s="460"/>
    </row>
    <row r="387" ht="15.75" customHeight="1">
      <c r="D387" s="541"/>
      <c r="E387" s="542"/>
      <c r="F387" s="392"/>
      <c r="P387" s="460"/>
    </row>
    <row r="388" ht="15.75" customHeight="1">
      <c r="D388" s="541"/>
      <c r="E388" s="542"/>
      <c r="F388" s="392"/>
      <c r="P388" s="460"/>
    </row>
    <row r="389" ht="15.75" customHeight="1">
      <c r="D389" s="541"/>
      <c r="E389" s="542"/>
      <c r="F389" s="392"/>
      <c r="P389" s="460"/>
    </row>
    <row r="390" ht="15.75" customHeight="1">
      <c r="D390" s="541"/>
      <c r="E390" s="542"/>
      <c r="F390" s="392"/>
      <c r="P390" s="460"/>
    </row>
    <row r="391" ht="15.75" customHeight="1">
      <c r="D391" s="541"/>
      <c r="E391" s="542"/>
      <c r="F391" s="392"/>
      <c r="P391" s="460"/>
    </row>
    <row r="392" ht="15.75" customHeight="1">
      <c r="D392" s="541"/>
      <c r="E392" s="542"/>
      <c r="F392" s="392"/>
      <c r="P392" s="460"/>
    </row>
    <row r="393" ht="15.75" customHeight="1">
      <c r="D393" s="541"/>
      <c r="E393" s="542"/>
      <c r="F393" s="392"/>
      <c r="P393" s="460"/>
    </row>
    <row r="394" ht="15.75" customHeight="1">
      <c r="D394" s="541"/>
      <c r="E394" s="542"/>
      <c r="F394" s="392"/>
      <c r="P394" s="460"/>
    </row>
    <row r="395" ht="15.75" customHeight="1">
      <c r="D395" s="541"/>
      <c r="E395" s="542"/>
      <c r="F395" s="392"/>
      <c r="P395" s="460"/>
    </row>
    <row r="396" ht="15.75" customHeight="1">
      <c r="D396" s="541"/>
      <c r="E396" s="542"/>
      <c r="F396" s="392"/>
      <c r="P396" s="460"/>
    </row>
    <row r="397" ht="15.75" customHeight="1">
      <c r="D397" s="541"/>
      <c r="E397" s="542"/>
      <c r="F397" s="392"/>
      <c r="P397" s="460"/>
    </row>
    <row r="398" ht="15.75" customHeight="1">
      <c r="D398" s="541"/>
      <c r="E398" s="542"/>
      <c r="F398" s="392"/>
      <c r="P398" s="460"/>
    </row>
    <row r="399" ht="15.75" customHeight="1">
      <c r="D399" s="541"/>
      <c r="E399" s="542"/>
      <c r="F399" s="392"/>
      <c r="P399" s="460"/>
    </row>
    <row r="400" ht="15.75" customHeight="1">
      <c r="D400" s="541"/>
      <c r="E400" s="542"/>
      <c r="F400" s="392"/>
      <c r="P400" s="460"/>
    </row>
    <row r="401" ht="15.75" customHeight="1">
      <c r="D401" s="541"/>
      <c r="E401" s="542"/>
      <c r="F401" s="392"/>
      <c r="P401" s="460"/>
    </row>
    <row r="402" ht="15.75" customHeight="1">
      <c r="D402" s="541"/>
      <c r="E402" s="542"/>
      <c r="F402" s="392"/>
      <c r="P402" s="460"/>
    </row>
    <row r="403" ht="15.75" customHeight="1">
      <c r="D403" s="541"/>
      <c r="E403" s="542"/>
      <c r="F403" s="392"/>
      <c r="P403" s="460"/>
    </row>
    <row r="404" ht="15.75" customHeight="1">
      <c r="D404" s="541"/>
      <c r="E404" s="542"/>
      <c r="F404" s="392"/>
      <c r="P404" s="460"/>
    </row>
    <row r="405" ht="15.75" customHeight="1">
      <c r="D405" s="541"/>
      <c r="E405" s="542"/>
      <c r="F405" s="392"/>
      <c r="P405" s="460"/>
    </row>
    <row r="406" ht="15.75" customHeight="1">
      <c r="D406" s="541"/>
      <c r="E406" s="542"/>
      <c r="F406" s="392"/>
      <c r="P406" s="460"/>
    </row>
    <row r="407" ht="15.75" customHeight="1">
      <c r="D407" s="541"/>
      <c r="E407" s="542"/>
      <c r="F407" s="392"/>
      <c r="P407" s="460"/>
    </row>
    <row r="408" ht="15.75" customHeight="1">
      <c r="D408" s="541"/>
      <c r="E408" s="542"/>
      <c r="F408" s="392"/>
      <c r="P408" s="460"/>
    </row>
    <row r="409" ht="15.75" customHeight="1">
      <c r="D409" s="541"/>
      <c r="E409" s="542"/>
      <c r="F409" s="392"/>
      <c r="P409" s="460"/>
    </row>
    <row r="410" ht="15.75" customHeight="1">
      <c r="D410" s="541"/>
      <c r="E410" s="542"/>
      <c r="F410" s="392"/>
      <c r="P410" s="460"/>
    </row>
    <row r="411" ht="15.75" customHeight="1">
      <c r="D411" s="541"/>
      <c r="E411" s="542"/>
      <c r="F411" s="392"/>
      <c r="P411" s="460"/>
    </row>
    <row r="412" ht="15.75" customHeight="1">
      <c r="D412" s="541"/>
      <c r="E412" s="542"/>
      <c r="F412" s="392"/>
      <c r="P412" s="460"/>
    </row>
    <row r="413" ht="15.75" customHeight="1">
      <c r="D413" s="541"/>
      <c r="E413" s="542"/>
      <c r="F413" s="392"/>
      <c r="P413" s="460"/>
    </row>
    <row r="414" ht="15.75" customHeight="1">
      <c r="D414" s="541"/>
      <c r="E414" s="542"/>
      <c r="F414" s="392"/>
      <c r="P414" s="460"/>
    </row>
    <row r="415" ht="15.75" customHeight="1">
      <c r="D415" s="541"/>
      <c r="E415" s="542"/>
      <c r="F415" s="392"/>
      <c r="P415" s="460"/>
    </row>
    <row r="416" ht="15.75" customHeight="1">
      <c r="D416" s="541"/>
      <c r="E416" s="542"/>
      <c r="F416" s="392"/>
      <c r="P416" s="460"/>
    </row>
    <row r="417" ht="15.75" customHeight="1">
      <c r="D417" s="541"/>
      <c r="E417" s="542"/>
      <c r="F417" s="392"/>
      <c r="P417" s="460"/>
    </row>
    <row r="418" ht="15.75" customHeight="1">
      <c r="D418" s="541"/>
      <c r="E418" s="542"/>
      <c r="F418" s="392"/>
      <c r="P418" s="460"/>
    </row>
    <row r="419" ht="15.75" customHeight="1">
      <c r="D419" s="541"/>
      <c r="E419" s="542"/>
      <c r="F419" s="392"/>
      <c r="P419" s="460"/>
    </row>
    <row r="420" ht="15.75" customHeight="1">
      <c r="D420" s="541"/>
      <c r="E420" s="542"/>
      <c r="F420" s="392"/>
      <c r="P420" s="460"/>
    </row>
    <row r="421" ht="15.75" customHeight="1">
      <c r="D421" s="541"/>
      <c r="E421" s="542"/>
      <c r="F421" s="392"/>
      <c r="P421" s="460"/>
    </row>
    <row r="422" ht="15.75" customHeight="1">
      <c r="D422" s="541"/>
      <c r="E422" s="542"/>
      <c r="F422" s="392"/>
      <c r="P422" s="460"/>
    </row>
    <row r="423" ht="15.75" customHeight="1">
      <c r="D423" s="541"/>
      <c r="E423" s="542"/>
      <c r="F423" s="392"/>
      <c r="P423" s="460"/>
    </row>
    <row r="424" ht="15.75" customHeight="1">
      <c r="D424" s="541"/>
      <c r="E424" s="542"/>
      <c r="F424" s="392"/>
      <c r="P424" s="460"/>
    </row>
    <row r="425" ht="15.75" customHeight="1">
      <c r="D425" s="541"/>
      <c r="E425" s="542"/>
      <c r="F425" s="392"/>
      <c r="P425" s="460"/>
    </row>
    <row r="426" ht="15.75" customHeight="1">
      <c r="D426" s="541"/>
      <c r="E426" s="542"/>
      <c r="F426" s="392"/>
      <c r="P426" s="460"/>
    </row>
    <row r="427" ht="15.75" customHeight="1">
      <c r="D427" s="541"/>
      <c r="E427" s="542"/>
      <c r="F427" s="392"/>
      <c r="P427" s="460"/>
    </row>
    <row r="428" ht="15.75" customHeight="1">
      <c r="D428" s="541"/>
      <c r="E428" s="542"/>
      <c r="F428" s="392"/>
      <c r="P428" s="460"/>
    </row>
    <row r="429" ht="15.75" customHeight="1">
      <c r="D429" s="541"/>
      <c r="E429" s="542"/>
      <c r="F429" s="392"/>
      <c r="P429" s="460"/>
    </row>
    <row r="430" ht="15.75" customHeight="1">
      <c r="D430" s="541"/>
      <c r="E430" s="542"/>
      <c r="F430" s="392"/>
      <c r="P430" s="460"/>
    </row>
    <row r="431" ht="15.75" customHeight="1">
      <c r="D431" s="541"/>
      <c r="E431" s="542"/>
      <c r="F431" s="392"/>
      <c r="P431" s="460"/>
    </row>
    <row r="432" ht="15.75" customHeight="1">
      <c r="D432" s="541"/>
      <c r="E432" s="542"/>
      <c r="F432" s="392"/>
      <c r="P432" s="460"/>
    </row>
    <row r="433" ht="15.75" customHeight="1">
      <c r="D433" s="541"/>
      <c r="E433" s="542"/>
      <c r="F433" s="392"/>
      <c r="P433" s="460"/>
    </row>
    <row r="434" ht="15.75" customHeight="1">
      <c r="D434" s="541"/>
      <c r="E434" s="542"/>
      <c r="F434" s="392"/>
      <c r="P434" s="460"/>
    </row>
    <row r="435" ht="15.75" customHeight="1">
      <c r="D435" s="541"/>
      <c r="E435" s="542"/>
      <c r="F435" s="392"/>
      <c r="P435" s="460"/>
    </row>
    <row r="436" ht="15.75" customHeight="1">
      <c r="D436" s="541"/>
      <c r="E436" s="542"/>
      <c r="F436" s="392"/>
      <c r="P436" s="460"/>
    </row>
    <row r="437" ht="15.75" customHeight="1">
      <c r="D437" s="541"/>
      <c r="E437" s="542"/>
      <c r="F437" s="392"/>
      <c r="P437" s="460"/>
    </row>
    <row r="438" ht="15.75" customHeight="1">
      <c r="D438" s="541"/>
      <c r="E438" s="542"/>
      <c r="F438" s="392"/>
      <c r="P438" s="460"/>
    </row>
    <row r="439" ht="15.75" customHeight="1">
      <c r="D439" s="541"/>
      <c r="E439" s="542"/>
      <c r="F439" s="392"/>
      <c r="P439" s="460"/>
    </row>
    <row r="440" ht="15.75" customHeight="1">
      <c r="D440" s="541"/>
      <c r="E440" s="542"/>
      <c r="F440" s="392"/>
      <c r="P440" s="460"/>
    </row>
    <row r="441" ht="15.75" customHeight="1">
      <c r="D441" s="541"/>
      <c r="E441" s="542"/>
      <c r="F441" s="392"/>
      <c r="P441" s="460"/>
    </row>
    <row r="442" ht="15.75" customHeight="1">
      <c r="D442" s="541"/>
      <c r="E442" s="542"/>
      <c r="F442" s="392"/>
      <c r="P442" s="460"/>
    </row>
    <row r="443" ht="15.75" customHeight="1">
      <c r="D443" s="541"/>
      <c r="E443" s="542"/>
      <c r="F443" s="392"/>
      <c r="P443" s="460"/>
    </row>
    <row r="444" ht="15.75" customHeight="1">
      <c r="D444" s="541"/>
      <c r="E444" s="542"/>
      <c r="F444" s="392"/>
      <c r="P444" s="460"/>
    </row>
    <row r="445" ht="15.75" customHeight="1">
      <c r="D445" s="541"/>
      <c r="E445" s="542"/>
      <c r="F445" s="392"/>
      <c r="P445" s="460"/>
    </row>
    <row r="446" ht="15.75" customHeight="1">
      <c r="D446" s="541"/>
      <c r="E446" s="542"/>
      <c r="F446" s="392"/>
      <c r="P446" s="460"/>
    </row>
    <row r="447" ht="15.75" customHeight="1">
      <c r="D447" s="541"/>
      <c r="E447" s="542"/>
      <c r="F447" s="392"/>
      <c r="P447" s="460"/>
    </row>
    <row r="448" ht="15.75" customHeight="1">
      <c r="D448" s="541"/>
      <c r="E448" s="542"/>
      <c r="F448" s="392"/>
      <c r="P448" s="460"/>
    </row>
    <row r="449" ht="15.75" customHeight="1">
      <c r="D449" s="541"/>
      <c r="E449" s="542"/>
      <c r="F449" s="392"/>
      <c r="P449" s="460"/>
    </row>
    <row r="450" ht="15.75" customHeight="1">
      <c r="D450" s="541"/>
      <c r="E450" s="542"/>
      <c r="F450" s="392"/>
      <c r="P450" s="460"/>
    </row>
    <row r="451" ht="15.75" customHeight="1">
      <c r="D451" s="541"/>
      <c r="E451" s="542"/>
      <c r="F451" s="392"/>
      <c r="P451" s="460"/>
    </row>
    <row r="452" ht="15.75" customHeight="1">
      <c r="D452" s="541"/>
      <c r="E452" s="542"/>
      <c r="F452" s="392"/>
      <c r="P452" s="460"/>
    </row>
    <row r="453" ht="15.75" customHeight="1">
      <c r="D453" s="541"/>
      <c r="E453" s="542"/>
      <c r="F453" s="392"/>
      <c r="P453" s="460"/>
    </row>
    <row r="454" ht="15.75" customHeight="1">
      <c r="D454" s="541"/>
      <c r="E454" s="542"/>
      <c r="F454" s="392"/>
      <c r="P454" s="460"/>
    </row>
    <row r="455" ht="15.75" customHeight="1">
      <c r="D455" s="541"/>
      <c r="E455" s="542"/>
      <c r="F455" s="392"/>
      <c r="P455" s="460"/>
    </row>
    <row r="456" ht="15.75" customHeight="1">
      <c r="D456" s="541"/>
      <c r="E456" s="542"/>
      <c r="F456" s="392"/>
      <c r="P456" s="460"/>
    </row>
    <row r="457" ht="15.75" customHeight="1">
      <c r="D457" s="541"/>
      <c r="E457" s="542"/>
      <c r="F457" s="392"/>
      <c r="P457" s="460"/>
    </row>
    <row r="458" ht="15.75" customHeight="1">
      <c r="D458" s="541"/>
      <c r="E458" s="542"/>
      <c r="F458" s="392"/>
      <c r="P458" s="460"/>
    </row>
    <row r="459" ht="15.75" customHeight="1">
      <c r="D459" s="541"/>
      <c r="E459" s="542"/>
      <c r="F459" s="392"/>
      <c r="P459" s="460"/>
    </row>
    <row r="460" ht="15.75" customHeight="1">
      <c r="D460" s="541"/>
      <c r="E460" s="542"/>
      <c r="F460" s="392"/>
      <c r="P460" s="460"/>
    </row>
    <row r="461" ht="15.75" customHeight="1">
      <c r="D461" s="541"/>
      <c r="E461" s="542"/>
      <c r="F461" s="392"/>
      <c r="P461" s="460"/>
    </row>
    <row r="462" ht="15.75" customHeight="1">
      <c r="D462" s="541"/>
      <c r="E462" s="542"/>
      <c r="F462" s="392"/>
      <c r="P462" s="460"/>
    </row>
    <row r="463" ht="15.75" customHeight="1">
      <c r="D463" s="541"/>
      <c r="E463" s="542"/>
      <c r="F463" s="392"/>
      <c r="P463" s="460"/>
    </row>
    <row r="464" ht="15.75" customHeight="1">
      <c r="D464" s="541"/>
      <c r="E464" s="542"/>
      <c r="F464" s="392"/>
      <c r="P464" s="460"/>
    </row>
    <row r="465" ht="15.75" customHeight="1">
      <c r="D465" s="541"/>
      <c r="E465" s="542"/>
      <c r="F465" s="392"/>
      <c r="P465" s="460"/>
    </row>
    <row r="466" ht="15.75" customHeight="1">
      <c r="D466" s="541"/>
      <c r="E466" s="542"/>
      <c r="F466" s="392"/>
      <c r="P466" s="460"/>
    </row>
    <row r="467" ht="15.75" customHeight="1">
      <c r="D467" s="541"/>
      <c r="E467" s="542"/>
      <c r="F467" s="392"/>
      <c r="P467" s="460"/>
    </row>
    <row r="468" ht="15.75" customHeight="1">
      <c r="D468" s="541"/>
      <c r="E468" s="542"/>
      <c r="F468" s="392"/>
      <c r="P468" s="460"/>
    </row>
    <row r="469" ht="15.75" customHeight="1">
      <c r="D469" s="541"/>
      <c r="E469" s="542"/>
      <c r="F469" s="392"/>
      <c r="P469" s="460"/>
    </row>
    <row r="470" ht="15.75" customHeight="1">
      <c r="D470" s="541"/>
      <c r="E470" s="542"/>
      <c r="F470" s="392"/>
      <c r="P470" s="460"/>
    </row>
    <row r="471" ht="15.75" customHeight="1">
      <c r="D471" s="541"/>
      <c r="E471" s="542"/>
      <c r="F471" s="392"/>
      <c r="P471" s="460"/>
    </row>
    <row r="472" ht="15.75" customHeight="1">
      <c r="D472" s="541"/>
      <c r="E472" s="542"/>
      <c r="F472" s="392"/>
      <c r="P472" s="460"/>
    </row>
    <row r="473" ht="15.75" customHeight="1">
      <c r="D473" s="541"/>
      <c r="E473" s="542"/>
      <c r="F473" s="392"/>
      <c r="P473" s="460"/>
    </row>
    <row r="474" ht="15.75" customHeight="1">
      <c r="D474" s="541"/>
      <c r="E474" s="542"/>
      <c r="F474" s="392"/>
      <c r="P474" s="460"/>
    </row>
    <row r="475" ht="15.75" customHeight="1">
      <c r="D475" s="541"/>
      <c r="E475" s="542"/>
      <c r="F475" s="392"/>
      <c r="P475" s="460"/>
    </row>
    <row r="476" ht="15.75" customHeight="1">
      <c r="D476" s="541"/>
      <c r="E476" s="542"/>
      <c r="F476" s="392"/>
      <c r="P476" s="460"/>
    </row>
    <row r="477" ht="15.75" customHeight="1">
      <c r="D477" s="541"/>
      <c r="E477" s="542"/>
      <c r="F477" s="392"/>
      <c r="P477" s="460"/>
    </row>
    <row r="478" ht="15.75" customHeight="1">
      <c r="D478" s="541"/>
      <c r="E478" s="542"/>
      <c r="F478" s="392"/>
      <c r="P478" s="460"/>
    </row>
    <row r="479" ht="15.75" customHeight="1">
      <c r="D479" s="541"/>
      <c r="E479" s="542"/>
      <c r="F479" s="392"/>
      <c r="P479" s="460"/>
    </row>
    <row r="480" ht="15.75" customHeight="1">
      <c r="D480" s="541"/>
      <c r="E480" s="542"/>
      <c r="F480" s="392"/>
      <c r="P480" s="460"/>
    </row>
    <row r="481" ht="15.75" customHeight="1">
      <c r="D481" s="541"/>
      <c r="E481" s="542"/>
      <c r="F481" s="392"/>
      <c r="P481" s="460"/>
    </row>
    <row r="482" ht="15.75" customHeight="1">
      <c r="D482" s="541"/>
      <c r="E482" s="542"/>
      <c r="F482" s="392"/>
      <c r="P482" s="460"/>
    </row>
    <row r="483" ht="15.75" customHeight="1">
      <c r="D483" s="541"/>
      <c r="E483" s="542"/>
      <c r="F483" s="392"/>
      <c r="P483" s="460"/>
    </row>
    <row r="484" ht="15.75" customHeight="1">
      <c r="D484" s="541"/>
      <c r="E484" s="542"/>
      <c r="F484" s="392"/>
      <c r="P484" s="460"/>
    </row>
    <row r="485" ht="15.75" customHeight="1">
      <c r="D485" s="541"/>
      <c r="E485" s="542"/>
      <c r="F485" s="392"/>
      <c r="P485" s="460"/>
    </row>
    <row r="486" ht="15.75" customHeight="1">
      <c r="D486" s="541"/>
      <c r="E486" s="542"/>
      <c r="F486" s="392"/>
      <c r="P486" s="460"/>
    </row>
    <row r="487" ht="15.75" customHeight="1">
      <c r="D487" s="541"/>
      <c r="E487" s="542"/>
      <c r="F487" s="392"/>
      <c r="P487" s="460"/>
    </row>
    <row r="488" ht="15.75" customHeight="1">
      <c r="D488" s="541"/>
      <c r="E488" s="542"/>
      <c r="F488" s="392"/>
      <c r="P488" s="460"/>
    </row>
    <row r="489" ht="15.75" customHeight="1">
      <c r="D489" s="541"/>
      <c r="E489" s="542"/>
      <c r="F489" s="392"/>
      <c r="P489" s="460"/>
    </row>
    <row r="490" ht="15.75" customHeight="1">
      <c r="D490" s="541"/>
      <c r="E490" s="542"/>
      <c r="F490" s="392"/>
      <c r="P490" s="460"/>
    </row>
    <row r="491" ht="15.75" customHeight="1">
      <c r="D491" s="541"/>
      <c r="E491" s="542"/>
      <c r="F491" s="392"/>
      <c r="P491" s="460"/>
    </row>
    <row r="492" ht="15.75" customHeight="1">
      <c r="D492" s="541"/>
      <c r="E492" s="542"/>
      <c r="F492" s="392"/>
      <c r="P492" s="460"/>
    </row>
    <row r="493" ht="15.75" customHeight="1">
      <c r="D493" s="541"/>
      <c r="E493" s="542"/>
      <c r="F493" s="392"/>
      <c r="P493" s="460"/>
    </row>
    <row r="494" ht="15.75" customHeight="1">
      <c r="D494" s="541"/>
      <c r="E494" s="542"/>
      <c r="F494" s="392"/>
      <c r="P494" s="460"/>
    </row>
    <row r="495" ht="15.75" customHeight="1">
      <c r="D495" s="541"/>
      <c r="E495" s="542"/>
      <c r="F495" s="392"/>
      <c r="P495" s="460"/>
    </row>
    <row r="496" ht="15.75" customHeight="1">
      <c r="D496" s="541"/>
      <c r="E496" s="542"/>
      <c r="F496" s="392"/>
      <c r="P496" s="460"/>
    </row>
    <row r="497" ht="15.75" customHeight="1">
      <c r="D497" s="541"/>
      <c r="E497" s="542"/>
      <c r="F497" s="392"/>
      <c r="P497" s="460"/>
    </row>
    <row r="498" ht="15.75" customHeight="1">
      <c r="D498" s="541"/>
      <c r="E498" s="542"/>
      <c r="F498" s="392"/>
      <c r="P498" s="460"/>
    </row>
    <row r="499" ht="15.75" customHeight="1">
      <c r="D499" s="541"/>
      <c r="E499" s="542"/>
      <c r="F499" s="392"/>
      <c r="P499" s="460"/>
    </row>
    <row r="500" ht="15.75" customHeight="1">
      <c r="D500" s="541"/>
      <c r="E500" s="542"/>
      <c r="F500" s="392"/>
      <c r="P500" s="460"/>
    </row>
    <row r="501" ht="15.75" customHeight="1">
      <c r="D501" s="541"/>
      <c r="E501" s="542"/>
      <c r="F501" s="392"/>
      <c r="P501" s="460"/>
    </row>
    <row r="502" ht="15.75" customHeight="1">
      <c r="D502" s="541"/>
      <c r="E502" s="542"/>
      <c r="F502" s="392"/>
      <c r="P502" s="460"/>
    </row>
    <row r="503" ht="15.75" customHeight="1">
      <c r="D503" s="541"/>
      <c r="E503" s="542"/>
      <c r="F503" s="392"/>
      <c r="P503" s="460"/>
    </row>
    <row r="504" ht="15.75" customHeight="1">
      <c r="D504" s="541"/>
      <c r="E504" s="542"/>
      <c r="F504" s="392"/>
      <c r="P504" s="460"/>
    </row>
    <row r="505" ht="15.75" customHeight="1">
      <c r="D505" s="541"/>
      <c r="E505" s="542"/>
      <c r="F505" s="392"/>
      <c r="P505" s="460"/>
    </row>
    <row r="506" ht="15.75" customHeight="1">
      <c r="D506" s="541"/>
      <c r="E506" s="542"/>
      <c r="F506" s="392"/>
      <c r="P506" s="460"/>
    </row>
    <row r="507" ht="15.75" customHeight="1">
      <c r="D507" s="541"/>
      <c r="E507" s="542"/>
      <c r="F507" s="392"/>
      <c r="P507" s="460"/>
    </row>
    <row r="508" ht="15.75" customHeight="1">
      <c r="D508" s="541"/>
      <c r="E508" s="542"/>
      <c r="F508" s="392"/>
      <c r="P508" s="460"/>
    </row>
    <row r="509" ht="15.75" customHeight="1">
      <c r="D509" s="541"/>
      <c r="E509" s="542"/>
      <c r="F509" s="392"/>
      <c r="P509" s="460"/>
    </row>
    <row r="510" ht="15.75" customHeight="1">
      <c r="D510" s="541"/>
      <c r="E510" s="542"/>
      <c r="F510" s="392"/>
      <c r="P510" s="460"/>
    </row>
    <row r="511" ht="15.75" customHeight="1">
      <c r="D511" s="541"/>
      <c r="E511" s="542"/>
      <c r="F511" s="392"/>
      <c r="P511" s="460"/>
    </row>
    <row r="512" ht="15.75" customHeight="1">
      <c r="D512" s="541"/>
      <c r="E512" s="542"/>
      <c r="F512" s="392"/>
      <c r="P512" s="460"/>
    </row>
    <row r="513" ht="15.75" customHeight="1">
      <c r="D513" s="541"/>
      <c r="E513" s="542"/>
      <c r="F513" s="392"/>
      <c r="P513" s="460"/>
    </row>
    <row r="514" ht="15.75" customHeight="1">
      <c r="D514" s="541"/>
      <c r="E514" s="542"/>
      <c r="F514" s="392"/>
      <c r="P514" s="460"/>
    </row>
    <row r="515" ht="15.75" customHeight="1">
      <c r="D515" s="541"/>
      <c r="E515" s="542"/>
      <c r="F515" s="392"/>
      <c r="P515" s="460"/>
    </row>
    <row r="516" ht="15.75" customHeight="1">
      <c r="D516" s="541"/>
      <c r="E516" s="542"/>
      <c r="F516" s="392"/>
      <c r="P516" s="460"/>
    </row>
    <row r="517" ht="15.75" customHeight="1">
      <c r="D517" s="541"/>
      <c r="E517" s="542"/>
      <c r="F517" s="392"/>
      <c r="P517" s="460"/>
    </row>
    <row r="518" ht="15.75" customHeight="1">
      <c r="D518" s="541"/>
      <c r="E518" s="542"/>
      <c r="F518" s="392"/>
      <c r="P518" s="460"/>
    </row>
    <row r="519" ht="15.75" customHeight="1">
      <c r="D519" s="541"/>
      <c r="E519" s="542"/>
      <c r="F519" s="392"/>
      <c r="P519" s="460"/>
    </row>
    <row r="520" ht="15.75" customHeight="1">
      <c r="D520" s="541"/>
      <c r="E520" s="542"/>
      <c r="F520" s="392"/>
      <c r="P520" s="460"/>
    </row>
    <row r="521" ht="15.75" customHeight="1">
      <c r="D521" s="541"/>
      <c r="E521" s="542"/>
      <c r="F521" s="392"/>
      <c r="P521" s="460"/>
    </row>
    <row r="522" ht="15.75" customHeight="1">
      <c r="D522" s="541"/>
      <c r="E522" s="542"/>
      <c r="F522" s="392"/>
      <c r="P522" s="460"/>
    </row>
    <row r="523" ht="15.75" customHeight="1">
      <c r="D523" s="541"/>
      <c r="E523" s="542"/>
      <c r="F523" s="392"/>
      <c r="P523" s="460"/>
    </row>
    <row r="524" ht="15.75" customHeight="1">
      <c r="D524" s="541"/>
      <c r="E524" s="542"/>
      <c r="F524" s="392"/>
      <c r="P524" s="460"/>
    </row>
    <row r="525" ht="15.75" customHeight="1">
      <c r="D525" s="541"/>
      <c r="E525" s="542"/>
      <c r="F525" s="392"/>
      <c r="P525" s="460"/>
    </row>
    <row r="526" ht="15.75" customHeight="1">
      <c r="D526" s="541"/>
      <c r="E526" s="542"/>
      <c r="F526" s="392"/>
      <c r="P526" s="460"/>
    </row>
    <row r="527" ht="15.75" customHeight="1">
      <c r="D527" s="541"/>
      <c r="E527" s="542"/>
      <c r="F527" s="392"/>
      <c r="P527" s="460"/>
    </row>
    <row r="528" ht="15.75" customHeight="1">
      <c r="D528" s="541"/>
      <c r="E528" s="542"/>
      <c r="F528" s="392"/>
      <c r="P528" s="460"/>
    </row>
    <row r="529" ht="15.75" customHeight="1">
      <c r="D529" s="541"/>
      <c r="E529" s="542"/>
      <c r="F529" s="392"/>
      <c r="P529" s="460"/>
    </row>
    <row r="530" ht="15.75" customHeight="1">
      <c r="D530" s="541"/>
      <c r="E530" s="542"/>
      <c r="F530" s="392"/>
      <c r="P530" s="460"/>
    </row>
    <row r="531" ht="15.75" customHeight="1">
      <c r="D531" s="541"/>
      <c r="E531" s="542"/>
      <c r="F531" s="392"/>
      <c r="P531" s="460"/>
    </row>
    <row r="532" ht="15.75" customHeight="1">
      <c r="D532" s="541"/>
      <c r="E532" s="542"/>
      <c r="F532" s="392"/>
      <c r="P532" s="460"/>
    </row>
    <row r="533" ht="15.75" customHeight="1">
      <c r="D533" s="541"/>
      <c r="E533" s="542"/>
      <c r="F533" s="392"/>
      <c r="P533" s="460"/>
    </row>
    <row r="534" ht="15.75" customHeight="1">
      <c r="D534" s="541"/>
      <c r="E534" s="542"/>
      <c r="F534" s="392"/>
      <c r="P534" s="460"/>
    </row>
    <row r="535" ht="15.75" customHeight="1">
      <c r="D535" s="541"/>
      <c r="E535" s="542"/>
      <c r="F535" s="392"/>
      <c r="P535" s="460"/>
    </row>
    <row r="536" ht="15.75" customHeight="1">
      <c r="D536" s="541"/>
      <c r="E536" s="542"/>
      <c r="F536" s="392"/>
      <c r="P536" s="460"/>
    </row>
    <row r="537" ht="15.75" customHeight="1">
      <c r="D537" s="541"/>
      <c r="E537" s="542"/>
      <c r="F537" s="392"/>
      <c r="P537" s="460"/>
    </row>
    <row r="538" ht="15.75" customHeight="1">
      <c r="D538" s="541"/>
      <c r="E538" s="542"/>
      <c r="F538" s="392"/>
      <c r="P538" s="460"/>
    </row>
    <row r="539" ht="15.75" customHeight="1">
      <c r="D539" s="541"/>
      <c r="E539" s="542"/>
      <c r="F539" s="392"/>
      <c r="P539" s="460"/>
    </row>
    <row r="540" ht="15.75" customHeight="1">
      <c r="D540" s="541"/>
      <c r="E540" s="542"/>
      <c r="F540" s="392"/>
      <c r="P540" s="460"/>
    </row>
    <row r="541" ht="15.75" customHeight="1">
      <c r="D541" s="541"/>
      <c r="E541" s="542"/>
      <c r="F541" s="392"/>
      <c r="P541" s="460"/>
    </row>
    <row r="542" ht="15.75" customHeight="1">
      <c r="D542" s="541"/>
      <c r="E542" s="542"/>
      <c r="F542" s="392"/>
      <c r="P542" s="460"/>
    </row>
    <row r="543" ht="15.75" customHeight="1">
      <c r="D543" s="541"/>
      <c r="E543" s="542"/>
      <c r="F543" s="392"/>
      <c r="P543" s="460"/>
    </row>
    <row r="544" ht="15.75" customHeight="1">
      <c r="D544" s="541"/>
      <c r="E544" s="542"/>
      <c r="F544" s="392"/>
      <c r="P544" s="460"/>
    </row>
    <row r="545" ht="15.75" customHeight="1">
      <c r="D545" s="541"/>
      <c r="E545" s="542"/>
      <c r="F545" s="392"/>
      <c r="P545" s="460"/>
    </row>
    <row r="546" ht="15.75" customHeight="1">
      <c r="D546" s="541"/>
      <c r="E546" s="542"/>
      <c r="F546" s="392"/>
      <c r="P546" s="460"/>
    </row>
    <row r="547" ht="15.75" customHeight="1">
      <c r="D547" s="541"/>
      <c r="E547" s="542"/>
      <c r="F547" s="392"/>
      <c r="P547" s="460"/>
    </row>
    <row r="548" ht="15.75" customHeight="1">
      <c r="D548" s="541"/>
      <c r="E548" s="542"/>
      <c r="F548" s="392"/>
      <c r="P548" s="460"/>
    </row>
    <row r="549" ht="15.75" customHeight="1">
      <c r="D549" s="541"/>
      <c r="E549" s="542"/>
      <c r="F549" s="392"/>
      <c r="P549" s="460"/>
    </row>
    <row r="550" ht="15.75" customHeight="1">
      <c r="D550" s="541"/>
      <c r="E550" s="542"/>
      <c r="F550" s="392"/>
      <c r="P550" s="460"/>
    </row>
    <row r="551" ht="15.75" customHeight="1">
      <c r="D551" s="541"/>
      <c r="E551" s="542"/>
      <c r="F551" s="392"/>
      <c r="P551" s="460"/>
    </row>
    <row r="552" ht="15.75" customHeight="1">
      <c r="D552" s="541"/>
      <c r="E552" s="542"/>
      <c r="F552" s="392"/>
      <c r="P552" s="460"/>
    </row>
    <row r="553" ht="15.75" customHeight="1">
      <c r="D553" s="541"/>
      <c r="E553" s="542"/>
      <c r="F553" s="392"/>
      <c r="P553" s="460"/>
    </row>
    <row r="554" ht="15.75" customHeight="1">
      <c r="D554" s="541"/>
      <c r="E554" s="542"/>
      <c r="F554" s="392"/>
      <c r="P554" s="460"/>
    </row>
    <row r="555" ht="15.75" customHeight="1">
      <c r="D555" s="541"/>
      <c r="E555" s="542"/>
      <c r="F555" s="392"/>
      <c r="P555" s="460"/>
    </row>
    <row r="556" ht="15.75" customHeight="1">
      <c r="D556" s="541"/>
      <c r="E556" s="542"/>
      <c r="F556" s="392"/>
      <c r="P556" s="460"/>
    </row>
    <row r="557" ht="15.75" customHeight="1">
      <c r="D557" s="541"/>
      <c r="E557" s="542"/>
      <c r="F557" s="392"/>
      <c r="P557" s="460"/>
    </row>
    <row r="558" ht="15.75" customHeight="1">
      <c r="D558" s="541"/>
      <c r="E558" s="542"/>
      <c r="F558" s="392"/>
      <c r="P558" s="460"/>
    </row>
    <row r="559" ht="15.75" customHeight="1">
      <c r="D559" s="541"/>
      <c r="E559" s="542"/>
      <c r="F559" s="392"/>
      <c r="P559" s="460"/>
    </row>
    <row r="560" ht="15.75" customHeight="1">
      <c r="D560" s="541"/>
      <c r="E560" s="542"/>
      <c r="F560" s="392"/>
      <c r="P560" s="460"/>
    </row>
    <row r="561" ht="15.75" customHeight="1">
      <c r="D561" s="541"/>
      <c r="E561" s="542"/>
      <c r="F561" s="392"/>
      <c r="P561" s="460"/>
    </row>
    <row r="562" ht="15.75" customHeight="1">
      <c r="D562" s="541"/>
      <c r="E562" s="542"/>
      <c r="F562" s="392"/>
      <c r="P562" s="460"/>
    </row>
    <row r="563" ht="15.75" customHeight="1">
      <c r="D563" s="541"/>
      <c r="E563" s="542"/>
      <c r="F563" s="392"/>
      <c r="P563" s="460"/>
    </row>
    <row r="564" ht="15.75" customHeight="1">
      <c r="D564" s="541"/>
      <c r="E564" s="542"/>
      <c r="F564" s="392"/>
      <c r="P564" s="460"/>
    </row>
    <row r="565" ht="15.75" customHeight="1">
      <c r="D565" s="541"/>
      <c r="E565" s="542"/>
      <c r="F565" s="392"/>
      <c r="P565" s="460"/>
    </row>
    <row r="566" ht="15.75" customHeight="1">
      <c r="D566" s="541"/>
      <c r="E566" s="542"/>
      <c r="F566" s="392"/>
      <c r="P566" s="460"/>
    </row>
    <row r="567" ht="15.75" customHeight="1">
      <c r="D567" s="541"/>
      <c r="E567" s="542"/>
      <c r="F567" s="392"/>
      <c r="P567" s="460"/>
    </row>
    <row r="568" ht="15.75" customHeight="1">
      <c r="D568" s="541"/>
      <c r="E568" s="542"/>
      <c r="F568" s="392"/>
      <c r="P568" s="460"/>
    </row>
    <row r="569" ht="15.75" customHeight="1">
      <c r="D569" s="541"/>
      <c r="E569" s="542"/>
      <c r="F569" s="392"/>
      <c r="P569" s="460"/>
    </row>
    <row r="570" ht="15.75" customHeight="1">
      <c r="D570" s="541"/>
      <c r="E570" s="542"/>
      <c r="F570" s="392"/>
      <c r="P570" s="460"/>
    </row>
    <row r="571" ht="15.75" customHeight="1">
      <c r="D571" s="541"/>
      <c r="E571" s="542"/>
      <c r="F571" s="392"/>
      <c r="P571" s="460"/>
    </row>
    <row r="572" ht="15.75" customHeight="1">
      <c r="D572" s="541"/>
      <c r="E572" s="542"/>
      <c r="F572" s="392"/>
      <c r="P572" s="460"/>
    </row>
    <row r="573" ht="15.75" customHeight="1">
      <c r="D573" s="541"/>
      <c r="E573" s="542"/>
      <c r="F573" s="392"/>
      <c r="P573" s="460"/>
    </row>
    <row r="574" ht="15.75" customHeight="1">
      <c r="D574" s="541"/>
      <c r="E574" s="542"/>
      <c r="F574" s="392"/>
      <c r="P574" s="460"/>
    </row>
    <row r="575" ht="15.75" customHeight="1">
      <c r="D575" s="541"/>
      <c r="E575" s="542"/>
      <c r="F575" s="392"/>
      <c r="P575" s="460"/>
    </row>
    <row r="576" ht="15.75" customHeight="1">
      <c r="D576" s="541"/>
      <c r="E576" s="542"/>
      <c r="F576" s="392"/>
      <c r="P576" s="460"/>
    </row>
    <row r="577" ht="15.75" customHeight="1">
      <c r="D577" s="541"/>
      <c r="E577" s="542"/>
      <c r="F577" s="392"/>
      <c r="P577" s="460"/>
    </row>
    <row r="578" ht="15.75" customHeight="1">
      <c r="D578" s="541"/>
      <c r="E578" s="542"/>
      <c r="F578" s="392"/>
      <c r="P578" s="460"/>
    </row>
    <row r="579" ht="15.75" customHeight="1">
      <c r="D579" s="541"/>
      <c r="E579" s="542"/>
      <c r="F579" s="392"/>
      <c r="P579" s="460"/>
    </row>
    <row r="580" ht="15.75" customHeight="1">
      <c r="D580" s="541"/>
      <c r="E580" s="542"/>
      <c r="F580" s="392"/>
      <c r="P580" s="460"/>
    </row>
    <row r="581" ht="15.75" customHeight="1">
      <c r="D581" s="541"/>
      <c r="E581" s="542"/>
      <c r="F581" s="392"/>
      <c r="P581" s="460"/>
    </row>
    <row r="582" ht="15.75" customHeight="1">
      <c r="D582" s="541"/>
      <c r="E582" s="542"/>
      <c r="F582" s="392"/>
      <c r="P582" s="460"/>
    </row>
    <row r="583" ht="15.75" customHeight="1">
      <c r="D583" s="541"/>
      <c r="E583" s="542"/>
      <c r="F583" s="392"/>
      <c r="P583" s="460"/>
    </row>
    <row r="584" ht="15.75" customHeight="1">
      <c r="D584" s="541"/>
      <c r="E584" s="542"/>
      <c r="F584" s="392"/>
      <c r="P584" s="460"/>
    </row>
    <row r="585" ht="15.75" customHeight="1">
      <c r="D585" s="541"/>
      <c r="E585" s="542"/>
      <c r="F585" s="392"/>
      <c r="P585" s="460"/>
    </row>
    <row r="586" ht="15.75" customHeight="1">
      <c r="D586" s="541"/>
      <c r="E586" s="542"/>
      <c r="F586" s="392"/>
      <c r="P586" s="460"/>
    </row>
    <row r="587" ht="15.75" customHeight="1">
      <c r="D587" s="541"/>
      <c r="E587" s="542"/>
      <c r="F587" s="392"/>
      <c r="P587" s="460"/>
    </row>
    <row r="588" ht="15.75" customHeight="1">
      <c r="D588" s="541"/>
      <c r="E588" s="542"/>
      <c r="F588" s="392"/>
      <c r="P588" s="460"/>
    </row>
    <row r="589" ht="15.75" customHeight="1">
      <c r="D589" s="541"/>
      <c r="E589" s="542"/>
      <c r="F589" s="392"/>
      <c r="P589" s="460"/>
    </row>
    <row r="590" ht="15.75" customHeight="1">
      <c r="D590" s="541"/>
      <c r="E590" s="542"/>
      <c r="F590" s="392"/>
      <c r="P590" s="460"/>
    </row>
    <row r="591" ht="15.75" customHeight="1">
      <c r="D591" s="541"/>
      <c r="E591" s="542"/>
      <c r="F591" s="392"/>
      <c r="P591" s="460"/>
    </row>
    <row r="592" ht="15.75" customHeight="1">
      <c r="D592" s="541"/>
      <c r="E592" s="542"/>
      <c r="F592" s="392"/>
      <c r="P592" s="460"/>
    </row>
    <row r="593" ht="15.75" customHeight="1">
      <c r="D593" s="541"/>
      <c r="E593" s="542"/>
      <c r="F593" s="392"/>
      <c r="P593" s="460"/>
    </row>
    <row r="594" ht="15.75" customHeight="1">
      <c r="D594" s="541"/>
      <c r="E594" s="542"/>
      <c r="F594" s="392"/>
      <c r="P594" s="460"/>
    </row>
    <row r="595" ht="15.75" customHeight="1">
      <c r="D595" s="541"/>
      <c r="E595" s="542"/>
      <c r="F595" s="392"/>
      <c r="P595" s="460"/>
    </row>
    <row r="596" ht="15.75" customHeight="1">
      <c r="D596" s="541"/>
      <c r="E596" s="542"/>
      <c r="F596" s="392"/>
      <c r="P596" s="460"/>
    </row>
    <row r="597" ht="15.75" customHeight="1">
      <c r="D597" s="541"/>
      <c r="E597" s="542"/>
      <c r="F597" s="392"/>
      <c r="P597" s="460"/>
    </row>
    <row r="598" ht="15.75" customHeight="1">
      <c r="D598" s="541"/>
      <c r="E598" s="542"/>
      <c r="F598" s="392"/>
      <c r="P598" s="460"/>
    </row>
    <row r="599" ht="15.75" customHeight="1">
      <c r="D599" s="541"/>
      <c r="E599" s="542"/>
      <c r="F599" s="392"/>
      <c r="P599" s="460"/>
    </row>
    <row r="600" ht="15.75" customHeight="1">
      <c r="D600" s="541"/>
      <c r="E600" s="542"/>
      <c r="F600" s="392"/>
      <c r="P600" s="460"/>
    </row>
    <row r="601" ht="15.75" customHeight="1">
      <c r="D601" s="541"/>
      <c r="E601" s="542"/>
      <c r="F601" s="392"/>
      <c r="P601" s="460"/>
    </row>
    <row r="602" ht="15.75" customHeight="1">
      <c r="D602" s="541"/>
      <c r="E602" s="542"/>
      <c r="F602" s="392"/>
      <c r="P602" s="460"/>
    </row>
    <row r="603" ht="15.75" customHeight="1">
      <c r="D603" s="541"/>
      <c r="E603" s="542"/>
      <c r="F603" s="392"/>
      <c r="P603" s="460"/>
    </row>
    <row r="604" ht="15.75" customHeight="1">
      <c r="D604" s="541"/>
      <c r="E604" s="542"/>
      <c r="F604" s="392"/>
      <c r="P604" s="460"/>
    </row>
    <row r="605" ht="15.75" customHeight="1">
      <c r="D605" s="541"/>
      <c r="E605" s="542"/>
      <c r="F605" s="392"/>
      <c r="P605" s="460"/>
    </row>
    <row r="606" ht="15.75" customHeight="1">
      <c r="D606" s="541"/>
      <c r="E606" s="542"/>
      <c r="F606" s="392"/>
      <c r="P606" s="460"/>
    </row>
    <row r="607" ht="15.75" customHeight="1">
      <c r="D607" s="541"/>
      <c r="E607" s="542"/>
      <c r="F607" s="392"/>
      <c r="P607" s="460"/>
    </row>
    <row r="608" ht="15.75" customHeight="1">
      <c r="D608" s="541"/>
      <c r="E608" s="542"/>
      <c r="F608" s="392"/>
      <c r="P608" s="460"/>
    </row>
    <row r="609" ht="15.75" customHeight="1">
      <c r="D609" s="541"/>
      <c r="E609" s="542"/>
      <c r="F609" s="392"/>
      <c r="P609" s="460"/>
    </row>
    <row r="610" ht="15.75" customHeight="1">
      <c r="D610" s="541"/>
      <c r="E610" s="542"/>
      <c r="F610" s="392"/>
      <c r="P610" s="460"/>
    </row>
    <row r="611" ht="15.75" customHeight="1">
      <c r="D611" s="541"/>
      <c r="E611" s="542"/>
      <c r="F611" s="392"/>
      <c r="P611" s="460"/>
    </row>
    <row r="612" ht="15.75" customHeight="1">
      <c r="D612" s="541"/>
      <c r="E612" s="542"/>
      <c r="F612" s="392"/>
      <c r="P612" s="460"/>
    </row>
    <row r="613" ht="15.75" customHeight="1">
      <c r="D613" s="541"/>
      <c r="E613" s="542"/>
      <c r="F613" s="392"/>
      <c r="P613" s="460"/>
    </row>
    <row r="614" ht="15.75" customHeight="1">
      <c r="D614" s="541"/>
      <c r="E614" s="542"/>
      <c r="F614" s="392"/>
      <c r="P614" s="460"/>
    </row>
    <row r="615" ht="15.75" customHeight="1">
      <c r="D615" s="541"/>
      <c r="E615" s="542"/>
      <c r="F615" s="392"/>
      <c r="P615" s="460"/>
    </row>
    <row r="616" ht="15.75" customHeight="1">
      <c r="D616" s="541"/>
      <c r="E616" s="542"/>
      <c r="F616" s="392"/>
      <c r="P616" s="460"/>
    </row>
    <row r="617" ht="15.75" customHeight="1">
      <c r="D617" s="541"/>
      <c r="E617" s="542"/>
      <c r="F617" s="392"/>
      <c r="P617" s="460"/>
    </row>
    <row r="618" ht="15.75" customHeight="1">
      <c r="D618" s="541"/>
      <c r="E618" s="542"/>
      <c r="F618" s="392"/>
      <c r="P618" s="460"/>
    </row>
    <row r="619" ht="15.75" customHeight="1">
      <c r="D619" s="541"/>
      <c r="E619" s="542"/>
      <c r="F619" s="392"/>
      <c r="P619" s="460"/>
    </row>
    <row r="620" ht="15.75" customHeight="1">
      <c r="D620" s="541"/>
      <c r="E620" s="542"/>
      <c r="F620" s="392"/>
      <c r="P620" s="460"/>
    </row>
    <row r="621" ht="15.75" customHeight="1">
      <c r="D621" s="541"/>
      <c r="E621" s="542"/>
      <c r="F621" s="392"/>
      <c r="P621" s="460"/>
    </row>
    <row r="622" ht="15.75" customHeight="1">
      <c r="D622" s="541"/>
      <c r="E622" s="542"/>
      <c r="F622" s="392"/>
      <c r="P622" s="460"/>
    </row>
    <row r="623" ht="15.75" customHeight="1">
      <c r="D623" s="541"/>
      <c r="E623" s="542"/>
      <c r="F623" s="392"/>
      <c r="P623" s="460"/>
    </row>
    <row r="624" ht="15.75" customHeight="1">
      <c r="D624" s="541"/>
      <c r="E624" s="542"/>
      <c r="F624" s="392"/>
      <c r="P624" s="460"/>
    </row>
    <row r="625" ht="15.75" customHeight="1">
      <c r="D625" s="541"/>
      <c r="E625" s="542"/>
      <c r="F625" s="392"/>
      <c r="P625" s="460"/>
    </row>
    <row r="626" ht="15.75" customHeight="1">
      <c r="D626" s="541"/>
      <c r="E626" s="542"/>
      <c r="F626" s="392"/>
      <c r="P626" s="460"/>
    </row>
    <row r="627" ht="15.75" customHeight="1">
      <c r="D627" s="541"/>
      <c r="E627" s="542"/>
      <c r="F627" s="392"/>
      <c r="P627" s="460"/>
    </row>
    <row r="628" ht="15.75" customHeight="1">
      <c r="D628" s="541"/>
      <c r="E628" s="542"/>
      <c r="F628" s="392"/>
      <c r="P628" s="460"/>
    </row>
    <row r="629" ht="15.75" customHeight="1">
      <c r="D629" s="541"/>
      <c r="E629" s="542"/>
      <c r="F629" s="392"/>
      <c r="P629" s="460"/>
    </row>
    <row r="630" ht="15.75" customHeight="1">
      <c r="D630" s="541"/>
      <c r="E630" s="542"/>
      <c r="F630" s="392"/>
      <c r="P630" s="460"/>
    </row>
    <row r="631" ht="15.75" customHeight="1">
      <c r="D631" s="541"/>
      <c r="E631" s="542"/>
      <c r="F631" s="392"/>
      <c r="P631" s="460"/>
    </row>
    <row r="632" ht="15.75" customHeight="1">
      <c r="D632" s="541"/>
      <c r="E632" s="542"/>
      <c r="F632" s="392"/>
      <c r="P632" s="460"/>
    </row>
    <row r="633" ht="15.75" customHeight="1">
      <c r="D633" s="541"/>
      <c r="E633" s="542"/>
      <c r="F633" s="392"/>
      <c r="P633" s="460"/>
    </row>
    <row r="634" ht="15.75" customHeight="1">
      <c r="D634" s="541"/>
      <c r="E634" s="542"/>
      <c r="F634" s="392"/>
      <c r="P634" s="460"/>
    </row>
    <row r="635" ht="15.75" customHeight="1">
      <c r="D635" s="541"/>
      <c r="E635" s="542"/>
      <c r="F635" s="392"/>
      <c r="P635" s="460"/>
    </row>
    <row r="636" ht="15.75" customHeight="1">
      <c r="D636" s="541"/>
      <c r="E636" s="542"/>
      <c r="F636" s="392"/>
      <c r="P636" s="460"/>
    </row>
    <row r="637" ht="15.75" customHeight="1">
      <c r="D637" s="541"/>
      <c r="E637" s="542"/>
      <c r="F637" s="392"/>
      <c r="P637" s="460"/>
    </row>
    <row r="638" ht="15.75" customHeight="1">
      <c r="D638" s="541"/>
      <c r="E638" s="542"/>
      <c r="F638" s="392"/>
      <c r="P638" s="460"/>
    </row>
    <row r="639" ht="15.75" customHeight="1">
      <c r="D639" s="541"/>
      <c r="E639" s="542"/>
      <c r="F639" s="392"/>
      <c r="P639" s="460"/>
    </row>
    <row r="640" ht="15.75" customHeight="1">
      <c r="D640" s="541"/>
      <c r="E640" s="542"/>
      <c r="F640" s="392"/>
      <c r="P640" s="460"/>
    </row>
    <row r="641" ht="15.75" customHeight="1">
      <c r="D641" s="541"/>
      <c r="E641" s="542"/>
      <c r="F641" s="392"/>
      <c r="P641" s="460"/>
    </row>
    <row r="642" ht="15.75" customHeight="1">
      <c r="D642" s="541"/>
      <c r="E642" s="542"/>
      <c r="F642" s="392"/>
      <c r="P642" s="460"/>
    </row>
    <row r="643" ht="15.75" customHeight="1">
      <c r="D643" s="541"/>
      <c r="E643" s="542"/>
      <c r="F643" s="392"/>
      <c r="P643" s="460"/>
    </row>
    <row r="644" ht="15.75" customHeight="1">
      <c r="D644" s="541"/>
      <c r="E644" s="542"/>
      <c r="F644" s="392"/>
      <c r="P644" s="460"/>
    </row>
    <row r="645" ht="15.75" customHeight="1">
      <c r="D645" s="541"/>
      <c r="E645" s="542"/>
      <c r="F645" s="392"/>
      <c r="P645" s="460"/>
    </row>
    <row r="646" ht="15.75" customHeight="1">
      <c r="D646" s="541"/>
      <c r="E646" s="542"/>
      <c r="F646" s="392"/>
      <c r="P646" s="460"/>
    </row>
    <row r="647" ht="15.75" customHeight="1">
      <c r="D647" s="541"/>
      <c r="E647" s="542"/>
      <c r="F647" s="392"/>
      <c r="P647" s="460"/>
    </row>
    <row r="648" ht="15.75" customHeight="1">
      <c r="D648" s="541"/>
      <c r="E648" s="542"/>
      <c r="F648" s="392"/>
      <c r="P648" s="460"/>
    </row>
    <row r="649" ht="15.75" customHeight="1">
      <c r="D649" s="541"/>
      <c r="E649" s="542"/>
      <c r="F649" s="392"/>
      <c r="P649" s="460"/>
    </row>
    <row r="650" ht="15.75" customHeight="1">
      <c r="D650" s="541"/>
      <c r="E650" s="542"/>
      <c r="F650" s="392"/>
      <c r="P650" s="460"/>
    </row>
    <row r="651" ht="15.75" customHeight="1">
      <c r="D651" s="541"/>
      <c r="E651" s="542"/>
      <c r="F651" s="392"/>
      <c r="P651" s="460"/>
    </row>
    <row r="652" ht="15.75" customHeight="1">
      <c r="D652" s="541"/>
      <c r="E652" s="542"/>
      <c r="F652" s="392"/>
      <c r="P652" s="460"/>
    </row>
    <row r="653" ht="15.75" customHeight="1">
      <c r="D653" s="541"/>
      <c r="E653" s="542"/>
      <c r="F653" s="392"/>
      <c r="P653" s="460"/>
    </row>
    <row r="654" ht="15.75" customHeight="1">
      <c r="D654" s="541"/>
      <c r="E654" s="542"/>
      <c r="F654" s="392"/>
      <c r="P654" s="460"/>
    </row>
    <row r="655" ht="15.75" customHeight="1">
      <c r="D655" s="541"/>
      <c r="E655" s="542"/>
      <c r="F655" s="392"/>
      <c r="P655" s="460"/>
    </row>
    <row r="656" ht="15.75" customHeight="1">
      <c r="D656" s="541"/>
      <c r="E656" s="542"/>
      <c r="F656" s="392"/>
      <c r="P656" s="460"/>
    </row>
    <row r="657" ht="15.75" customHeight="1">
      <c r="D657" s="541"/>
      <c r="E657" s="542"/>
      <c r="F657" s="392"/>
      <c r="P657" s="460"/>
    </row>
    <row r="658" ht="15.75" customHeight="1">
      <c r="D658" s="541"/>
      <c r="E658" s="542"/>
      <c r="F658" s="392"/>
      <c r="P658" s="460"/>
    </row>
    <row r="659" ht="15.75" customHeight="1">
      <c r="D659" s="541"/>
      <c r="E659" s="542"/>
      <c r="F659" s="392"/>
      <c r="P659" s="460"/>
    </row>
    <row r="660" ht="15.75" customHeight="1">
      <c r="D660" s="541"/>
      <c r="E660" s="542"/>
      <c r="F660" s="392"/>
      <c r="P660" s="460"/>
    </row>
    <row r="661" ht="15.75" customHeight="1">
      <c r="D661" s="541"/>
      <c r="E661" s="542"/>
      <c r="F661" s="392"/>
      <c r="P661" s="460"/>
    </row>
    <row r="662" ht="15.75" customHeight="1">
      <c r="D662" s="541"/>
      <c r="E662" s="542"/>
      <c r="F662" s="392"/>
      <c r="P662" s="460"/>
    </row>
    <row r="663" ht="15.75" customHeight="1">
      <c r="D663" s="541"/>
      <c r="E663" s="542"/>
      <c r="F663" s="392"/>
      <c r="P663" s="460"/>
    </row>
    <row r="664" ht="15.75" customHeight="1">
      <c r="D664" s="541"/>
      <c r="E664" s="542"/>
      <c r="F664" s="392"/>
      <c r="P664" s="460"/>
    </row>
    <row r="665" ht="15.75" customHeight="1">
      <c r="D665" s="541"/>
      <c r="E665" s="542"/>
      <c r="F665" s="392"/>
      <c r="P665" s="460"/>
    </row>
    <row r="666" ht="15.75" customHeight="1">
      <c r="D666" s="541"/>
      <c r="E666" s="542"/>
      <c r="F666" s="392"/>
      <c r="P666" s="460"/>
    </row>
    <row r="667" ht="15.75" customHeight="1">
      <c r="D667" s="541"/>
      <c r="E667" s="542"/>
      <c r="F667" s="392"/>
      <c r="P667" s="460"/>
    </row>
    <row r="668" ht="15.75" customHeight="1">
      <c r="D668" s="541"/>
      <c r="E668" s="542"/>
      <c r="F668" s="392"/>
      <c r="P668" s="460"/>
    </row>
    <row r="669" ht="15.75" customHeight="1">
      <c r="D669" s="541"/>
      <c r="E669" s="542"/>
      <c r="F669" s="392"/>
      <c r="P669" s="460"/>
    </row>
    <row r="670" ht="15.75" customHeight="1">
      <c r="D670" s="541"/>
      <c r="E670" s="542"/>
      <c r="F670" s="392"/>
      <c r="P670" s="460"/>
    </row>
    <row r="671" ht="15.75" customHeight="1">
      <c r="D671" s="541"/>
      <c r="E671" s="542"/>
      <c r="F671" s="392"/>
      <c r="P671" s="460"/>
    </row>
    <row r="672" ht="15.75" customHeight="1">
      <c r="D672" s="541"/>
      <c r="E672" s="542"/>
      <c r="F672" s="392"/>
      <c r="P672" s="460"/>
    </row>
    <row r="673" ht="15.75" customHeight="1">
      <c r="D673" s="541"/>
      <c r="E673" s="542"/>
      <c r="F673" s="392"/>
      <c r="P673" s="460"/>
    </row>
    <row r="674" ht="15.75" customHeight="1">
      <c r="D674" s="541"/>
      <c r="E674" s="542"/>
      <c r="F674" s="392"/>
      <c r="P674" s="460"/>
    </row>
    <row r="675" ht="15.75" customHeight="1">
      <c r="D675" s="541"/>
      <c r="E675" s="542"/>
      <c r="F675" s="392"/>
      <c r="P675" s="460"/>
    </row>
    <row r="676" ht="15.75" customHeight="1">
      <c r="D676" s="541"/>
      <c r="E676" s="542"/>
      <c r="F676" s="392"/>
      <c r="P676" s="460"/>
    </row>
    <row r="677" ht="15.75" customHeight="1">
      <c r="D677" s="541"/>
      <c r="E677" s="542"/>
      <c r="F677" s="392"/>
      <c r="P677" s="460"/>
    </row>
    <row r="678" ht="15.75" customHeight="1">
      <c r="D678" s="541"/>
      <c r="E678" s="542"/>
      <c r="F678" s="392"/>
      <c r="P678" s="460"/>
    </row>
    <row r="679" ht="15.75" customHeight="1">
      <c r="D679" s="541"/>
      <c r="E679" s="542"/>
      <c r="F679" s="392"/>
      <c r="P679" s="460"/>
    </row>
    <row r="680" ht="15.75" customHeight="1">
      <c r="D680" s="541"/>
      <c r="E680" s="542"/>
      <c r="F680" s="392"/>
      <c r="P680" s="460"/>
    </row>
    <row r="681" ht="15.75" customHeight="1">
      <c r="D681" s="541"/>
      <c r="E681" s="542"/>
      <c r="F681" s="392"/>
      <c r="P681" s="460"/>
    </row>
    <row r="682" ht="15.75" customHeight="1">
      <c r="D682" s="541"/>
      <c r="E682" s="542"/>
      <c r="F682" s="392"/>
      <c r="P682" s="460"/>
    </row>
    <row r="683" ht="15.75" customHeight="1">
      <c r="D683" s="541"/>
      <c r="E683" s="542"/>
      <c r="F683" s="392"/>
      <c r="P683" s="460"/>
    </row>
    <row r="684" ht="15.75" customHeight="1">
      <c r="D684" s="541"/>
      <c r="E684" s="542"/>
      <c r="F684" s="392"/>
      <c r="P684" s="460"/>
    </row>
    <row r="685" ht="15.75" customHeight="1">
      <c r="D685" s="541"/>
      <c r="E685" s="542"/>
      <c r="F685" s="392"/>
      <c r="P685" s="460"/>
    </row>
    <row r="686" ht="15.75" customHeight="1">
      <c r="D686" s="541"/>
      <c r="E686" s="542"/>
      <c r="F686" s="392"/>
      <c r="P686" s="460"/>
    </row>
    <row r="687" ht="15.75" customHeight="1">
      <c r="D687" s="541"/>
      <c r="E687" s="542"/>
      <c r="F687" s="392"/>
      <c r="P687" s="460"/>
    </row>
    <row r="688" ht="15.75" customHeight="1">
      <c r="D688" s="541"/>
      <c r="E688" s="542"/>
      <c r="F688" s="392"/>
      <c r="P688" s="460"/>
    </row>
    <row r="689" ht="15.75" customHeight="1">
      <c r="D689" s="541"/>
      <c r="E689" s="542"/>
      <c r="F689" s="392"/>
      <c r="P689" s="460"/>
    </row>
    <row r="690" ht="15.75" customHeight="1">
      <c r="D690" s="541"/>
      <c r="E690" s="542"/>
      <c r="F690" s="392"/>
      <c r="P690" s="460"/>
    </row>
    <row r="691" ht="15.75" customHeight="1">
      <c r="D691" s="541"/>
      <c r="E691" s="542"/>
      <c r="F691" s="392"/>
      <c r="P691" s="460"/>
    </row>
    <row r="692" ht="15.75" customHeight="1">
      <c r="D692" s="541"/>
      <c r="E692" s="542"/>
      <c r="F692" s="392"/>
      <c r="P692" s="460"/>
    </row>
    <row r="693" ht="15.75" customHeight="1">
      <c r="D693" s="541"/>
      <c r="E693" s="542"/>
      <c r="F693" s="392"/>
      <c r="P693" s="460"/>
    </row>
    <row r="694" ht="15.75" customHeight="1">
      <c r="D694" s="541"/>
      <c r="E694" s="542"/>
      <c r="F694" s="392"/>
      <c r="P694" s="460"/>
    </row>
    <row r="695" ht="15.75" customHeight="1">
      <c r="D695" s="541"/>
      <c r="E695" s="542"/>
      <c r="F695" s="392"/>
      <c r="P695" s="460"/>
    </row>
    <row r="696" ht="15.75" customHeight="1">
      <c r="D696" s="541"/>
      <c r="E696" s="542"/>
      <c r="F696" s="392"/>
      <c r="P696" s="460"/>
    </row>
    <row r="697" ht="15.75" customHeight="1">
      <c r="D697" s="541"/>
      <c r="E697" s="542"/>
      <c r="F697" s="392"/>
      <c r="P697" s="460"/>
    </row>
    <row r="698" ht="15.75" customHeight="1">
      <c r="D698" s="541"/>
      <c r="E698" s="542"/>
      <c r="F698" s="392"/>
      <c r="P698" s="460"/>
    </row>
    <row r="699" ht="15.75" customHeight="1">
      <c r="D699" s="541"/>
      <c r="E699" s="542"/>
      <c r="F699" s="392"/>
      <c r="P699" s="460"/>
    </row>
    <row r="700" ht="15.75" customHeight="1">
      <c r="D700" s="541"/>
      <c r="E700" s="542"/>
      <c r="F700" s="392"/>
      <c r="P700" s="460"/>
    </row>
    <row r="701" ht="15.75" customHeight="1">
      <c r="D701" s="541"/>
      <c r="E701" s="542"/>
      <c r="F701" s="392"/>
      <c r="P701" s="460"/>
    </row>
    <row r="702" ht="15.75" customHeight="1">
      <c r="D702" s="541"/>
      <c r="E702" s="542"/>
      <c r="F702" s="392"/>
      <c r="P702" s="460"/>
    </row>
    <row r="703" ht="15.75" customHeight="1">
      <c r="D703" s="541"/>
      <c r="E703" s="542"/>
      <c r="F703" s="392"/>
      <c r="P703" s="460"/>
    </row>
    <row r="704" ht="15.75" customHeight="1">
      <c r="D704" s="541"/>
      <c r="E704" s="542"/>
      <c r="F704" s="392"/>
      <c r="P704" s="460"/>
    </row>
    <row r="705" ht="15.75" customHeight="1">
      <c r="D705" s="541"/>
      <c r="E705" s="542"/>
      <c r="F705" s="392"/>
      <c r="P705" s="460"/>
    </row>
    <row r="706" ht="15.75" customHeight="1">
      <c r="D706" s="541"/>
      <c r="E706" s="542"/>
      <c r="F706" s="392"/>
      <c r="P706" s="460"/>
    </row>
    <row r="707" ht="15.75" customHeight="1">
      <c r="D707" s="541"/>
      <c r="E707" s="542"/>
      <c r="F707" s="392"/>
      <c r="P707" s="460"/>
    </row>
    <row r="708" ht="15.75" customHeight="1">
      <c r="D708" s="541"/>
      <c r="E708" s="542"/>
      <c r="F708" s="392"/>
      <c r="P708" s="460"/>
    </row>
    <row r="709" ht="15.75" customHeight="1">
      <c r="D709" s="541"/>
      <c r="E709" s="542"/>
      <c r="F709" s="392"/>
      <c r="P709" s="460"/>
    </row>
    <row r="710" ht="15.75" customHeight="1">
      <c r="D710" s="541"/>
      <c r="E710" s="542"/>
      <c r="F710" s="392"/>
      <c r="P710" s="460"/>
    </row>
    <row r="711" ht="15.75" customHeight="1">
      <c r="D711" s="541"/>
      <c r="E711" s="542"/>
      <c r="F711" s="392"/>
      <c r="P711" s="460"/>
    </row>
    <row r="712" ht="15.75" customHeight="1">
      <c r="D712" s="541"/>
      <c r="E712" s="542"/>
      <c r="F712" s="392"/>
      <c r="P712" s="460"/>
    </row>
    <row r="713" ht="15.75" customHeight="1">
      <c r="D713" s="541"/>
      <c r="E713" s="542"/>
      <c r="F713" s="392"/>
      <c r="P713" s="460"/>
    </row>
    <row r="714" ht="15.75" customHeight="1">
      <c r="D714" s="541"/>
      <c r="E714" s="542"/>
      <c r="F714" s="392"/>
      <c r="P714" s="460"/>
    </row>
    <row r="715" ht="15.75" customHeight="1">
      <c r="D715" s="541"/>
      <c r="E715" s="542"/>
      <c r="F715" s="392"/>
      <c r="P715" s="460"/>
    </row>
    <row r="716" ht="15.75" customHeight="1">
      <c r="D716" s="541"/>
      <c r="E716" s="542"/>
      <c r="F716" s="392"/>
      <c r="P716" s="460"/>
    </row>
    <row r="717" ht="15.75" customHeight="1">
      <c r="D717" s="541"/>
      <c r="E717" s="542"/>
      <c r="F717" s="392"/>
      <c r="P717" s="460"/>
    </row>
    <row r="718" ht="15.75" customHeight="1">
      <c r="D718" s="541"/>
      <c r="E718" s="542"/>
      <c r="F718" s="392"/>
      <c r="P718" s="460"/>
    </row>
    <row r="719" ht="15.75" customHeight="1">
      <c r="D719" s="541"/>
      <c r="E719" s="542"/>
      <c r="F719" s="392"/>
      <c r="P719" s="460"/>
    </row>
    <row r="720" ht="15.75" customHeight="1">
      <c r="D720" s="541"/>
      <c r="E720" s="542"/>
      <c r="F720" s="392"/>
      <c r="P720" s="460"/>
    </row>
    <row r="721" ht="15.75" customHeight="1">
      <c r="D721" s="541"/>
      <c r="E721" s="542"/>
      <c r="F721" s="392"/>
      <c r="P721" s="460"/>
    </row>
    <row r="722" ht="15.75" customHeight="1">
      <c r="D722" s="541"/>
      <c r="E722" s="542"/>
      <c r="F722" s="392"/>
      <c r="P722" s="460"/>
    </row>
    <row r="723" ht="15.75" customHeight="1">
      <c r="D723" s="541"/>
      <c r="E723" s="542"/>
      <c r="F723" s="392"/>
      <c r="P723" s="460"/>
    </row>
    <row r="724" ht="15.75" customHeight="1">
      <c r="D724" s="541"/>
      <c r="E724" s="542"/>
      <c r="F724" s="392"/>
      <c r="P724" s="460"/>
    </row>
    <row r="725" ht="15.75" customHeight="1">
      <c r="D725" s="541"/>
      <c r="E725" s="542"/>
      <c r="F725" s="392"/>
      <c r="P725" s="460"/>
    </row>
    <row r="726" ht="15.75" customHeight="1">
      <c r="D726" s="541"/>
      <c r="E726" s="542"/>
      <c r="F726" s="392"/>
      <c r="P726" s="460"/>
    </row>
    <row r="727" ht="15.75" customHeight="1">
      <c r="D727" s="541"/>
      <c r="E727" s="542"/>
      <c r="F727" s="392"/>
      <c r="P727" s="460"/>
    </row>
    <row r="728" ht="15.75" customHeight="1">
      <c r="D728" s="541"/>
      <c r="E728" s="542"/>
      <c r="F728" s="392"/>
      <c r="P728" s="460"/>
    </row>
    <row r="729" ht="15.75" customHeight="1">
      <c r="D729" s="541"/>
      <c r="E729" s="542"/>
      <c r="F729" s="392"/>
      <c r="P729" s="460"/>
    </row>
    <row r="730" ht="15.75" customHeight="1">
      <c r="D730" s="541"/>
      <c r="E730" s="542"/>
      <c r="F730" s="392"/>
      <c r="P730" s="460"/>
    </row>
    <row r="731" ht="15.75" customHeight="1">
      <c r="D731" s="541"/>
      <c r="E731" s="542"/>
      <c r="F731" s="392"/>
      <c r="P731" s="460"/>
    </row>
    <row r="732" ht="15.75" customHeight="1">
      <c r="D732" s="541"/>
      <c r="E732" s="542"/>
      <c r="F732" s="392"/>
      <c r="P732" s="460"/>
    </row>
    <row r="733" ht="15.75" customHeight="1">
      <c r="D733" s="541"/>
      <c r="E733" s="542"/>
      <c r="F733" s="392"/>
      <c r="P733" s="460"/>
    </row>
    <row r="734" ht="15.75" customHeight="1">
      <c r="D734" s="541"/>
      <c r="E734" s="542"/>
      <c r="F734" s="392"/>
      <c r="P734" s="460"/>
    </row>
    <row r="735" ht="15.75" customHeight="1">
      <c r="D735" s="541"/>
      <c r="E735" s="542"/>
      <c r="F735" s="392"/>
      <c r="P735" s="460"/>
    </row>
    <row r="736" ht="15.75" customHeight="1">
      <c r="D736" s="541"/>
      <c r="E736" s="542"/>
      <c r="F736" s="392"/>
      <c r="P736" s="460"/>
    </row>
    <row r="737" ht="15.75" customHeight="1">
      <c r="D737" s="541"/>
      <c r="E737" s="542"/>
      <c r="F737" s="392"/>
      <c r="P737" s="460"/>
    </row>
    <row r="738" ht="15.75" customHeight="1">
      <c r="D738" s="541"/>
      <c r="E738" s="542"/>
      <c r="F738" s="392"/>
      <c r="P738" s="460"/>
    </row>
    <row r="739" ht="15.75" customHeight="1">
      <c r="D739" s="541"/>
      <c r="E739" s="542"/>
      <c r="F739" s="392"/>
      <c r="P739" s="460"/>
    </row>
    <row r="740" ht="15.75" customHeight="1">
      <c r="D740" s="541"/>
      <c r="E740" s="542"/>
      <c r="F740" s="392"/>
      <c r="P740" s="460"/>
    </row>
    <row r="741" ht="15.75" customHeight="1">
      <c r="D741" s="541"/>
      <c r="E741" s="542"/>
      <c r="F741" s="392"/>
      <c r="P741" s="460"/>
    </row>
    <row r="742" ht="15.75" customHeight="1">
      <c r="D742" s="541"/>
      <c r="E742" s="542"/>
      <c r="F742" s="392"/>
      <c r="P742" s="460"/>
    </row>
    <row r="743" ht="15.75" customHeight="1">
      <c r="D743" s="541"/>
      <c r="E743" s="542"/>
      <c r="F743" s="392"/>
      <c r="P743" s="460"/>
    </row>
    <row r="744" ht="15.75" customHeight="1">
      <c r="D744" s="541"/>
      <c r="E744" s="542"/>
      <c r="F744" s="392"/>
      <c r="P744" s="460"/>
    </row>
    <row r="745" ht="15.75" customHeight="1">
      <c r="D745" s="541"/>
      <c r="E745" s="542"/>
      <c r="F745" s="392"/>
      <c r="P745" s="460"/>
    </row>
    <row r="746" ht="15.75" customHeight="1">
      <c r="D746" s="541"/>
      <c r="E746" s="542"/>
      <c r="F746" s="392"/>
      <c r="P746" s="460"/>
    </row>
    <row r="747" ht="15.75" customHeight="1">
      <c r="D747" s="541"/>
      <c r="E747" s="542"/>
      <c r="F747" s="392"/>
      <c r="P747" s="460"/>
    </row>
    <row r="748" ht="15.75" customHeight="1">
      <c r="D748" s="541"/>
      <c r="E748" s="542"/>
      <c r="F748" s="392"/>
      <c r="P748" s="460"/>
    </row>
    <row r="749" ht="15.75" customHeight="1">
      <c r="D749" s="541"/>
      <c r="E749" s="542"/>
      <c r="F749" s="392"/>
      <c r="P749" s="460"/>
    </row>
    <row r="750" ht="15.75" customHeight="1">
      <c r="D750" s="541"/>
      <c r="E750" s="542"/>
      <c r="F750" s="392"/>
      <c r="P750" s="460"/>
    </row>
    <row r="751" ht="15.75" customHeight="1">
      <c r="D751" s="541"/>
      <c r="E751" s="542"/>
      <c r="F751" s="392"/>
      <c r="P751" s="460"/>
    </row>
    <row r="752" ht="15.75" customHeight="1">
      <c r="D752" s="541"/>
      <c r="E752" s="542"/>
      <c r="F752" s="392"/>
      <c r="P752" s="460"/>
    </row>
    <row r="753" ht="15.75" customHeight="1">
      <c r="D753" s="541"/>
      <c r="E753" s="542"/>
      <c r="F753" s="392"/>
      <c r="P753" s="460"/>
    </row>
    <row r="754" ht="15.75" customHeight="1">
      <c r="D754" s="541"/>
      <c r="E754" s="542"/>
      <c r="F754" s="392"/>
      <c r="P754" s="460"/>
    </row>
    <row r="755" ht="15.75" customHeight="1">
      <c r="D755" s="541"/>
      <c r="E755" s="542"/>
      <c r="F755" s="392"/>
      <c r="P755" s="460"/>
    </row>
    <row r="756" ht="15.75" customHeight="1">
      <c r="D756" s="541"/>
      <c r="E756" s="542"/>
      <c r="F756" s="392"/>
      <c r="P756" s="460"/>
    </row>
    <row r="757" ht="15.75" customHeight="1">
      <c r="D757" s="541"/>
      <c r="E757" s="542"/>
      <c r="F757" s="392"/>
      <c r="P757" s="460"/>
    </row>
    <row r="758" ht="15.75" customHeight="1">
      <c r="D758" s="541"/>
      <c r="E758" s="542"/>
      <c r="F758" s="392"/>
      <c r="P758" s="460"/>
    </row>
    <row r="759" ht="15.75" customHeight="1">
      <c r="D759" s="541"/>
      <c r="E759" s="542"/>
      <c r="F759" s="392"/>
      <c r="P759" s="460"/>
    </row>
    <row r="760" ht="15.75" customHeight="1">
      <c r="D760" s="541"/>
      <c r="E760" s="542"/>
      <c r="F760" s="392"/>
      <c r="P760" s="460"/>
    </row>
    <row r="761" ht="15.75" customHeight="1">
      <c r="D761" s="541"/>
      <c r="E761" s="542"/>
      <c r="F761" s="392"/>
      <c r="P761" s="460"/>
    </row>
    <row r="762" ht="15.75" customHeight="1">
      <c r="D762" s="541"/>
      <c r="E762" s="542"/>
      <c r="F762" s="392"/>
      <c r="P762" s="460"/>
    </row>
    <row r="763" ht="15.75" customHeight="1">
      <c r="D763" s="541"/>
      <c r="E763" s="542"/>
      <c r="F763" s="392"/>
      <c r="P763" s="460"/>
    </row>
    <row r="764" ht="15.75" customHeight="1">
      <c r="D764" s="541"/>
      <c r="E764" s="542"/>
      <c r="F764" s="392"/>
      <c r="P764" s="460"/>
    </row>
    <row r="765" ht="15.75" customHeight="1">
      <c r="D765" s="541"/>
      <c r="E765" s="542"/>
      <c r="F765" s="392"/>
      <c r="P765" s="460"/>
    </row>
    <row r="766" ht="15.75" customHeight="1">
      <c r="D766" s="541"/>
      <c r="E766" s="542"/>
      <c r="F766" s="392"/>
      <c r="P766" s="460"/>
    </row>
    <row r="767" ht="15.75" customHeight="1">
      <c r="D767" s="541"/>
      <c r="E767" s="542"/>
      <c r="F767" s="392"/>
      <c r="P767" s="460"/>
    </row>
    <row r="768" ht="15.75" customHeight="1">
      <c r="D768" s="541"/>
      <c r="E768" s="542"/>
      <c r="F768" s="392"/>
      <c r="P768" s="460"/>
    </row>
    <row r="769" ht="15.75" customHeight="1">
      <c r="D769" s="541"/>
      <c r="E769" s="542"/>
      <c r="F769" s="392"/>
      <c r="P769" s="460"/>
    </row>
    <row r="770" ht="15.75" customHeight="1">
      <c r="D770" s="541"/>
      <c r="E770" s="542"/>
      <c r="F770" s="392"/>
      <c r="P770" s="460"/>
    </row>
    <row r="771" ht="15.75" customHeight="1">
      <c r="D771" s="541"/>
      <c r="E771" s="542"/>
      <c r="F771" s="392"/>
      <c r="P771" s="460"/>
    </row>
    <row r="772" ht="15.75" customHeight="1">
      <c r="D772" s="541"/>
      <c r="E772" s="542"/>
      <c r="F772" s="392"/>
      <c r="P772" s="460"/>
    </row>
    <row r="773" ht="15.75" customHeight="1">
      <c r="D773" s="541"/>
      <c r="E773" s="542"/>
      <c r="F773" s="392"/>
      <c r="P773" s="460"/>
    </row>
    <row r="774" ht="15.75" customHeight="1">
      <c r="D774" s="541"/>
      <c r="E774" s="542"/>
      <c r="F774" s="392"/>
      <c r="P774" s="460"/>
    </row>
    <row r="775" ht="15.75" customHeight="1">
      <c r="D775" s="541"/>
      <c r="E775" s="542"/>
      <c r="F775" s="392"/>
      <c r="P775" s="460"/>
    </row>
    <row r="776" ht="15.75" customHeight="1">
      <c r="D776" s="541"/>
      <c r="E776" s="542"/>
      <c r="F776" s="392"/>
      <c r="P776" s="460"/>
    </row>
    <row r="777" ht="15.75" customHeight="1">
      <c r="D777" s="541"/>
      <c r="E777" s="542"/>
      <c r="F777" s="392"/>
      <c r="P777" s="460"/>
    </row>
    <row r="778" ht="15.75" customHeight="1">
      <c r="D778" s="541"/>
      <c r="E778" s="542"/>
      <c r="F778" s="392"/>
      <c r="P778" s="460"/>
    </row>
    <row r="779" ht="15.75" customHeight="1">
      <c r="D779" s="541"/>
      <c r="E779" s="542"/>
      <c r="F779" s="392"/>
      <c r="P779" s="460"/>
    </row>
    <row r="780" ht="15.75" customHeight="1">
      <c r="D780" s="541"/>
      <c r="E780" s="542"/>
      <c r="F780" s="392"/>
      <c r="P780" s="460"/>
    </row>
    <row r="781" ht="15.75" customHeight="1">
      <c r="D781" s="541"/>
      <c r="E781" s="542"/>
      <c r="F781" s="392"/>
      <c r="P781" s="460"/>
    </row>
    <row r="782" ht="15.75" customHeight="1">
      <c r="D782" s="541"/>
      <c r="E782" s="542"/>
      <c r="F782" s="392"/>
      <c r="P782" s="460"/>
    </row>
    <row r="783" ht="15.75" customHeight="1">
      <c r="D783" s="541"/>
      <c r="E783" s="542"/>
      <c r="F783" s="392"/>
      <c r="P783" s="460"/>
    </row>
    <row r="784" ht="15.75" customHeight="1">
      <c r="D784" s="541"/>
      <c r="E784" s="542"/>
      <c r="F784" s="392"/>
      <c r="P784" s="460"/>
    </row>
    <row r="785" ht="15.75" customHeight="1">
      <c r="D785" s="541"/>
      <c r="E785" s="542"/>
      <c r="F785" s="392"/>
      <c r="P785" s="460"/>
    </row>
    <row r="786" ht="15.75" customHeight="1">
      <c r="D786" s="541"/>
      <c r="E786" s="542"/>
      <c r="F786" s="392"/>
      <c r="P786" s="460"/>
    </row>
    <row r="787" ht="15.75" customHeight="1">
      <c r="D787" s="541"/>
      <c r="E787" s="542"/>
      <c r="F787" s="392"/>
      <c r="P787" s="460"/>
    </row>
    <row r="788" ht="15.75" customHeight="1">
      <c r="D788" s="541"/>
      <c r="E788" s="542"/>
      <c r="F788" s="392"/>
      <c r="P788" s="460"/>
    </row>
    <row r="789" ht="15.75" customHeight="1">
      <c r="D789" s="541"/>
      <c r="E789" s="542"/>
      <c r="F789" s="392"/>
      <c r="P789" s="460"/>
    </row>
    <row r="790" ht="15.75" customHeight="1">
      <c r="D790" s="541"/>
      <c r="E790" s="542"/>
      <c r="F790" s="392"/>
      <c r="P790" s="460"/>
    </row>
    <row r="791" ht="15.75" customHeight="1">
      <c r="D791" s="541"/>
      <c r="E791" s="542"/>
      <c r="F791" s="392"/>
      <c r="P791" s="460"/>
    </row>
    <row r="792" ht="15.75" customHeight="1">
      <c r="D792" s="541"/>
      <c r="E792" s="542"/>
      <c r="F792" s="392"/>
      <c r="P792" s="460"/>
    </row>
    <row r="793" ht="15.75" customHeight="1">
      <c r="D793" s="541"/>
      <c r="E793" s="542"/>
      <c r="F793" s="392"/>
      <c r="P793" s="460"/>
    </row>
    <row r="794" ht="15.75" customHeight="1">
      <c r="D794" s="541"/>
      <c r="E794" s="542"/>
      <c r="F794" s="392"/>
      <c r="P794" s="460"/>
    </row>
    <row r="795" ht="15.75" customHeight="1">
      <c r="D795" s="541"/>
      <c r="E795" s="542"/>
      <c r="F795" s="392"/>
      <c r="P795" s="460"/>
    </row>
    <row r="796" ht="15.75" customHeight="1">
      <c r="D796" s="541"/>
      <c r="E796" s="542"/>
      <c r="F796" s="392"/>
      <c r="P796" s="460"/>
    </row>
    <row r="797" ht="15.75" customHeight="1">
      <c r="D797" s="541"/>
      <c r="E797" s="542"/>
      <c r="F797" s="392"/>
      <c r="P797" s="460"/>
    </row>
    <row r="798" ht="15.75" customHeight="1">
      <c r="D798" s="541"/>
      <c r="E798" s="542"/>
      <c r="F798" s="392"/>
      <c r="P798" s="460"/>
    </row>
    <row r="799" ht="15.75" customHeight="1">
      <c r="D799" s="541"/>
      <c r="E799" s="542"/>
      <c r="F799" s="392"/>
      <c r="P799" s="460"/>
    </row>
    <row r="800" ht="15.75" customHeight="1">
      <c r="D800" s="541"/>
      <c r="E800" s="542"/>
      <c r="F800" s="392"/>
      <c r="P800" s="460"/>
    </row>
    <row r="801" ht="15.75" customHeight="1">
      <c r="D801" s="541"/>
      <c r="E801" s="542"/>
      <c r="F801" s="392"/>
      <c r="P801" s="460"/>
    </row>
    <row r="802" ht="15.75" customHeight="1">
      <c r="D802" s="541"/>
      <c r="E802" s="542"/>
      <c r="F802" s="392"/>
      <c r="P802" s="460"/>
    </row>
    <row r="803" ht="15.75" customHeight="1">
      <c r="D803" s="541"/>
      <c r="E803" s="542"/>
      <c r="F803" s="392"/>
      <c r="P803" s="460"/>
    </row>
    <row r="804" ht="15.75" customHeight="1">
      <c r="D804" s="541"/>
      <c r="E804" s="542"/>
      <c r="F804" s="392"/>
      <c r="P804" s="460"/>
    </row>
    <row r="805" ht="15.75" customHeight="1">
      <c r="D805" s="541"/>
      <c r="E805" s="542"/>
      <c r="F805" s="392"/>
      <c r="P805" s="460"/>
    </row>
    <row r="806" ht="15.75" customHeight="1">
      <c r="D806" s="541"/>
      <c r="E806" s="542"/>
      <c r="F806" s="392"/>
      <c r="P806" s="460"/>
    </row>
    <row r="807" ht="15.75" customHeight="1">
      <c r="D807" s="541"/>
      <c r="E807" s="542"/>
      <c r="F807" s="392"/>
      <c r="P807" s="460"/>
    </row>
    <row r="808" ht="15.75" customHeight="1">
      <c r="D808" s="541"/>
      <c r="E808" s="542"/>
      <c r="F808" s="392"/>
      <c r="P808" s="460"/>
    </row>
    <row r="809" ht="15.75" customHeight="1">
      <c r="D809" s="541"/>
      <c r="E809" s="542"/>
      <c r="F809" s="392"/>
      <c r="P809" s="460"/>
    </row>
    <row r="810" ht="15.75" customHeight="1">
      <c r="D810" s="541"/>
      <c r="E810" s="542"/>
      <c r="F810" s="392"/>
      <c r="P810" s="460"/>
    </row>
    <row r="811" ht="15.75" customHeight="1">
      <c r="D811" s="541"/>
      <c r="E811" s="542"/>
      <c r="F811" s="392"/>
      <c r="P811" s="460"/>
    </row>
    <row r="812" ht="15.75" customHeight="1">
      <c r="D812" s="541"/>
      <c r="E812" s="542"/>
      <c r="F812" s="392"/>
      <c r="P812" s="460"/>
    </row>
    <row r="813" ht="15.75" customHeight="1">
      <c r="D813" s="541"/>
      <c r="E813" s="542"/>
      <c r="F813" s="392"/>
      <c r="P813" s="460"/>
    </row>
    <row r="814" ht="15.75" customHeight="1">
      <c r="D814" s="541"/>
      <c r="E814" s="542"/>
      <c r="F814" s="392"/>
      <c r="P814" s="460"/>
    </row>
    <row r="815" ht="15.75" customHeight="1">
      <c r="D815" s="541"/>
      <c r="E815" s="542"/>
      <c r="F815" s="392"/>
      <c r="P815" s="460"/>
    </row>
    <row r="816" ht="15.75" customHeight="1">
      <c r="D816" s="541"/>
      <c r="E816" s="542"/>
      <c r="F816" s="392"/>
      <c r="P816" s="460"/>
    </row>
    <row r="817" ht="15.75" customHeight="1">
      <c r="D817" s="541"/>
      <c r="E817" s="542"/>
      <c r="F817" s="392"/>
      <c r="P817" s="460"/>
    </row>
    <row r="818" ht="15.75" customHeight="1">
      <c r="D818" s="541"/>
      <c r="E818" s="542"/>
      <c r="F818" s="392"/>
      <c r="P818" s="460"/>
    </row>
    <row r="819" ht="15.75" customHeight="1">
      <c r="D819" s="541"/>
      <c r="E819" s="542"/>
      <c r="F819" s="392"/>
      <c r="P819" s="460"/>
    </row>
    <row r="820" ht="15.75" customHeight="1">
      <c r="D820" s="541"/>
      <c r="E820" s="542"/>
      <c r="F820" s="392"/>
      <c r="P820" s="460"/>
    </row>
    <row r="821" ht="15.75" customHeight="1">
      <c r="D821" s="541"/>
      <c r="E821" s="542"/>
      <c r="F821" s="392"/>
      <c r="P821" s="460"/>
    </row>
    <row r="822" ht="15.75" customHeight="1">
      <c r="D822" s="541"/>
      <c r="E822" s="542"/>
      <c r="F822" s="392"/>
      <c r="P822" s="460"/>
    </row>
    <row r="823" ht="15.75" customHeight="1">
      <c r="D823" s="541"/>
      <c r="E823" s="542"/>
      <c r="F823" s="392"/>
      <c r="P823" s="460"/>
    </row>
    <row r="824" ht="15.75" customHeight="1">
      <c r="D824" s="541"/>
      <c r="E824" s="542"/>
      <c r="F824" s="392"/>
      <c r="P824" s="460"/>
    </row>
    <row r="825" ht="15.75" customHeight="1">
      <c r="D825" s="541"/>
      <c r="E825" s="542"/>
      <c r="F825" s="392"/>
      <c r="P825" s="460"/>
    </row>
    <row r="826" ht="15.75" customHeight="1">
      <c r="D826" s="541"/>
      <c r="E826" s="542"/>
      <c r="F826" s="392"/>
      <c r="P826" s="460"/>
    </row>
    <row r="827" ht="15.75" customHeight="1">
      <c r="D827" s="541"/>
      <c r="E827" s="542"/>
      <c r="F827" s="392"/>
      <c r="P827" s="460"/>
    </row>
    <row r="828" ht="15.75" customHeight="1">
      <c r="D828" s="541"/>
      <c r="E828" s="542"/>
      <c r="F828" s="392"/>
      <c r="P828" s="460"/>
    </row>
    <row r="829" ht="15.75" customHeight="1">
      <c r="D829" s="541"/>
      <c r="E829" s="542"/>
      <c r="F829" s="392"/>
      <c r="P829" s="460"/>
    </row>
    <row r="830" ht="15.75" customHeight="1">
      <c r="D830" s="541"/>
      <c r="E830" s="542"/>
      <c r="F830" s="392"/>
      <c r="P830" s="460"/>
    </row>
    <row r="831" ht="15.75" customHeight="1">
      <c r="D831" s="541"/>
      <c r="E831" s="542"/>
      <c r="F831" s="392"/>
      <c r="P831" s="460"/>
    </row>
    <row r="832" ht="15.75" customHeight="1">
      <c r="D832" s="541"/>
      <c r="E832" s="542"/>
      <c r="F832" s="392"/>
      <c r="P832" s="460"/>
    </row>
    <row r="833" ht="15.75" customHeight="1">
      <c r="D833" s="541"/>
      <c r="E833" s="542"/>
      <c r="F833" s="392"/>
      <c r="P833" s="460"/>
    </row>
    <row r="834" ht="15.75" customHeight="1">
      <c r="D834" s="541"/>
      <c r="E834" s="542"/>
      <c r="F834" s="392"/>
      <c r="P834" s="460"/>
    </row>
    <row r="835" ht="15.75" customHeight="1">
      <c r="D835" s="541"/>
      <c r="E835" s="542"/>
      <c r="F835" s="392"/>
      <c r="P835" s="460"/>
    </row>
    <row r="836" ht="15.75" customHeight="1">
      <c r="D836" s="541"/>
      <c r="E836" s="542"/>
      <c r="F836" s="392"/>
      <c r="P836" s="460"/>
    </row>
    <row r="837" ht="15.75" customHeight="1">
      <c r="D837" s="541"/>
      <c r="E837" s="542"/>
      <c r="F837" s="392"/>
      <c r="P837" s="460"/>
    </row>
    <row r="838" ht="15.75" customHeight="1">
      <c r="D838" s="541"/>
      <c r="E838" s="542"/>
      <c r="F838" s="392"/>
      <c r="P838" s="460"/>
    </row>
    <row r="839" ht="15.75" customHeight="1">
      <c r="D839" s="541"/>
      <c r="E839" s="542"/>
      <c r="F839" s="392"/>
      <c r="P839" s="460"/>
    </row>
    <row r="840" ht="15.75" customHeight="1">
      <c r="D840" s="541"/>
      <c r="E840" s="542"/>
      <c r="F840" s="392"/>
      <c r="P840" s="460"/>
    </row>
    <row r="841" ht="15.75" customHeight="1">
      <c r="D841" s="541"/>
      <c r="E841" s="542"/>
      <c r="F841" s="392"/>
      <c r="P841" s="460"/>
    </row>
    <row r="842" ht="15.75" customHeight="1">
      <c r="D842" s="541"/>
      <c r="E842" s="542"/>
      <c r="F842" s="392"/>
      <c r="P842" s="460"/>
    </row>
    <row r="843" ht="15.75" customHeight="1">
      <c r="D843" s="541"/>
      <c r="E843" s="542"/>
      <c r="F843" s="392"/>
      <c r="P843" s="460"/>
    </row>
    <row r="844" ht="15.75" customHeight="1">
      <c r="D844" s="541"/>
      <c r="E844" s="542"/>
      <c r="F844" s="392"/>
      <c r="P844" s="460"/>
    </row>
    <row r="845" ht="15.75" customHeight="1">
      <c r="D845" s="541"/>
      <c r="E845" s="542"/>
      <c r="F845" s="392"/>
      <c r="P845" s="460"/>
    </row>
    <row r="846" ht="15.75" customHeight="1">
      <c r="D846" s="541"/>
      <c r="E846" s="542"/>
      <c r="F846" s="392"/>
      <c r="P846" s="460"/>
    </row>
    <row r="847" ht="15.75" customHeight="1">
      <c r="D847" s="541"/>
      <c r="E847" s="542"/>
      <c r="F847" s="392"/>
      <c r="P847" s="460"/>
    </row>
    <row r="848" ht="15.75" customHeight="1">
      <c r="D848" s="541"/>
      <c r="E848" s="542"/>
      <c r="F848" s="392"/>
      <c r="P848" s="460"/>
    </row>
    <row r="849" ht="15.75" customHeight="1">
      <c r="D849" s="541"/>
      <c r="E849" s="542"/>
      <c r="F849" s="392"/>
      <c r="P849" s="460"/>
    </row>
    <row r="850" ht="15.75" customHeight="1">
      <c r="D850" s="541"/>
      <c r="E850" s="542"/>
      <c r="F850" s="392"/>
      <c r="P850" s="460"/>
    </row>
    <row r="851" ht="15.75" customHeight="1">
      <c r="D851" s="541"/>
      <c r="E851" s="542"/>
      <c r="F851" s="392"/>
      <c r="P851" s="460"/>
    </row>
    <row r="852" ht="15.75" customHeight="1">
      <c r="D852" s="541"/>
      <c r="E852" s="542"/>
      <c r="F852" s="392"/>
      <c r="P852" s="460"/>
    </row>
    <row r="853" ht="15.75" customHeight="1">
      <c r="D853" s="541"/>
      <c r="E853" s="542"/>
      <c r="F853" s="392"/>
      <c r="P853" s="460"/>
    </row>
    <row r="854" ht="15.75" customHeight="1">
      <c r="D854" s="541"/>
      <c r="E854" s="542"/>
      <c r="F854" s="392"/>
      <c r="P854" s="460"/>
    </row>
    <row r="855" ht="15.75" customHeight="1">
      <c r="D855" s="541"/>
      <c r="E855" s="542"/>
      <c r="F855" s="392"/>
      <c r="P855" s="460"/>
    </row>
    <row r="856" ht="15.75" customHeight="1">
      <c r="D856" s="541"/>
      <c r="E856" s="542"/>
      <c r="F856" s="392"/>
      <c r="P856" s="460"/>
    </row>
    <row r="857" ht="15.75" customHeight="1">
      <c r="D857" s="541"/>
      <c r="E857" s="542"/>
      <c r="F857" s="392"/>
      <c r="P857" s="460"/>
    </row>
    <row r="858" ht="15.75" customHeight="1">
      <c r="D858" s="541"/>
      <c r="E858" s="542"/>
      <c r="F858" s="392"/>
      <c r="P858" s="460"/>
    </row>
    <row r="859" ht="15.75" customHeight="1">
      <c r="D859" s="541"/>
      <c r="E859" s="542"/>
      <c r="F859" s="392"/>
      <c r="P859" s="460"/>
    </row>
    <row r="860" ht="15.75" customHeight="1">
      <c r="D860" s="541"/>
      <c r="E860" s="542"/>
      <c r="F860" s="392"/>
      <c r="P860" s="460"/>
    </row>
    <row r="861" ht="15.75" customHeight="1">
      <c r="D861" s="541"/>
      <c r="E861" s="542"/>
      <c r="F861" s="392"/>
      <c r="P861" s="460"/>
    </row>
    <row r="862" ht="15.75" customHeight="1">
      <c r="D862" s="541"/>
      <c r="E862" s="542"/>
      <c r="F862" s="392"/>
      <c r="P862" s="460"/>
    </row>
    <row r="863" ht="15.75" customHeight="1">
      <c r="D863" s="541"/>
      <c r="E863" s="542"/>
      <c r="F863" s="392"/>
      <c r="P863" s="460"/>
    </row>
    <row r="864" ht="15.75" customHeight="1">
      <c r="D864" s="541"/>
      <c r="E864" s="542"/>
      <c r="F864" s="392"/>
      <c r="P864" s="460"/>
    </row>
    <row r="865" ht="15.75" customHeight="1">
      <c r="D865" s="541"/>
      <c r="E865" s="542"/>
      <c r="F865" s="392"/>
      <c r="P865" s="460"/>
    </row>
    <row r="866" ht="15.75" customHeight="1">
      <c r="D866" s="541"/>
      <c r="E866" s="542"/>
      <c r="F866" s="392"/>
      <c r="P866" s="460"/>
    </row>
    <row r="867" ht="15.75" customHeight="1">
      <c r="D867" s="541"/>
      <c r="E867" s="542"/>
      <c r="F867" s="392"/>
      <c r="P867" s="460"/>
    </row>
    <row r="868" ht="15.75" customHeight="1">
      <c r="D868" s="541"/>
      <c r="E868" s="542"/>
      <c r="F868" s="392"/>
      <c r="P868" s="460"/>
    </row>
    <row r="869" ht="15.75" customHeight="1">
      <c r="D869" s="541"/>
      <c r="E869" s="542"/>
      <c r="F869" s="392"/>
      <c r="P869" s="460"/>
    </row>
    <row r="870" ht="15.75" customHeight="1">
      <c r="D870" s="541"/>
      <c r="E870" s="542"/>
      <c r="F870" s="392"/>
      <c r="P870" s="460"/>
    </row>
    <row r="871" ht="15.75" customHeight="1">
      <c r="D871" s="541"/>
      <c r="E871" s="542"/>
      <c r="F871" s="392"/>
      <c r="P871" s="460"/>
    </row>
    <row r="872" ht="15.75" customHeight="1">
      <c r="D872" s="541"/>
      <c r="E872" s="542"/>
      <c r="F872" s="392"/>
      <c r="P872" s="460"/>
    </row>
    <row r="873" ht="15.75" customHeight="1">
      <c r="D873" s="541"/>
      <c r="E873" s="542"/>
      <c r="F873" s="392"/>
      <c r="P873" s="460"/>
    </row>
    <row r="874" ht="15.75" customHeight="1">
      <c r="D874" s="541"/>
      <c r="E874" s="542"/>
      <c r="F874" s="392"/>
      <c r="P874" s="460"/>
    </row>
    <row r="875" ht="15.75" customHeight="1">
      <c r="D875" s="541"/>
      <c r="E875" s="542"/>
      <c r="F875" s="392"/>
      <c r="P875" s="460"/>
    </row>
    <row r="876" ht="15.75" customHeight="1">
      <c r="D876" s="541"/>
      <c r="E876" s="542"/>
      <c r="F876" s="392"/>
      <c r="P876" s="460"/>
    </row>
    <row r="877" ht="15.75" customHeight="1">
      <c r="D877" s="541"/>
      <c r="E877" s="542"/>
      <c r="F877" s="392"/>
      <c r="P877" s="460"/>
    </row>
    <row r="878" ht="15.75" customHeight="1">
      <c r="D878" s="541"/>
      <c r="E878" s="542"/>
      <c r="F878" s="392"/>
      <c r="P878" s="460"/>
    </row>
    <row r="879" ht="15.75" customHeight="1">
      <c r="D879" s="541"/>
      <c r="E879" s="542"/>
      <c r="F879" s="392"/>
      <c r="P879" s="460"/>
    </row>
    <row r="880" ht="15.75" customHeight="1">
      <c r="D880" s="541"/>
      <c r="E880" s="542"/>
      <c r="F880" s="392"/>
      <c r="P880" s="460"/>
    </row>
    <row r="881" ht="15.75" customHeight="1">
      <c r="D881" s="541"/>
      <c r="E881" s="542"/>
      <c r="F881" s="392"/>
      <c r="P881" s="460"/>
    </row>
    <row r="882" ht="15.75" customHeight="1">
      <c r="D882" s="541"/>
      <c r="E882" s="542"/>
      <c r="F882" s="392"/>
      <c r="P882" s="460"/>
    </row>
    <row r="883" ht="15.75" customHeight="1">
      <c r="D883" s="541"/>
      <c r="E883" s="542"/>
      <c r="F883" s="392"/>
      <c r="P883" s="460"/>
    </row>
    <row r="884" ht="15.75" customHeight="1">
      <c r="D884" s="541"/>
      <c r="E884" s="542"/>
      <c r="F884" s="392"/>
      <c r="P884" s="460"/>
    </row>
    <row r="885" ht="15.75" customHeight="1">
      <c r="D885" s="541"/>
      <c r="E885" s="542"/>
      <c r="F885" s="392"/>
      <c r="P885" s="460"/>
    </row>
    <row r="886" ht="15.75" customHeight="1">
      <c r="D886" s="541"/>
      <c r="E886" s="542"/>
      <c r="F886" s="392"/>
      <c r="P886" s="460"/>
    </row>
    <row r="887" ht="15.75" customHeight="1">
      <c r="D887" s="541"/>
      <c r="E887" s="542"/>
      <c r="F887" s="392"/>
      <c r="P887" s="460"/>
    </row>
    <row r="888" ht="15.75" customHeight="1">
      <c r="D888" s="541"/>
      <c r="E888" s="542"/>
      <c r="F888" s="392"/>
      <c r="P888" s="460"/>
    </row>
    <row r="889" ht="15.75" customHeight="1">
      <c r="D889" s="541"/>
      <c r="E889" s="542"/>
      <c r="F889" s="392"/>
      <c r="P889" s="460"/>
    </row>
    <row r="890" ht="15.75" customHeight="1">
      <c r="D890" s="541"/>
      <c r="E890" s="542"/>
      <c r="F890" s="392"/>
      <c r="P890" s="460"/>
    </row>
    <row r="891" ht="15.75" customHeight="1">
      <c r="D891" s="541"/>
      <c r="E891" s="542"/>
      <c r="F891" s="392"/>
      <c r="P891" s="460"/>
    </row>
    <row r="892" ht="15.75" customHeight="1">
      <c r="D892" s="541"/>
      <c r="E892" s="542"/>
      <c r="F892" s="392"/>
      <c r="P892" s="460"/>
    </row>
    <row r="893" ht="15.75" customHeight="1">
      <c r="D893" s="541"/>
      <c r="E893" s="542"/>
      <c r="F893" s="392"/>
      <c r="P893" s="460"/>
    </row>
    <row r="894" ht="15.75" customHeight="1">
      <c r="D894" s="541"/>
      <c r="E894" s="542"/>
      <c r="F894" s="392"/>
      <c r="P894" s="460"/>
    </row>
    <row r="895" ht="15.75" customHeight="1">
      <c r="D895" s="541"/>
      <c r="E895" s="542"/>
      <c r="F895" s="392"/>
      <c r="P895" s="460"/>
    </row>
    <row r="896" ht="15.75" customHeight="1">
      <c r="D896" s="541"/>
      <c r="E896" s="542"/>
      <c r="F896" s="392"/>
      <c r="P896" s="460"/>
    </row>
    <row r="897" ht="15.75" customHeight="1">
      <c r="D897" s="541"/>
      <c r="E897" s="542"/>
      <c r="F897" s="392"/>
      <c r="P897" s="460"/>
    </row>
    <row r="898" ht="15.75" customHeight="1">
      <c r="D898" s="541"/>
      <c r="E898" s="542"/>
      <c r="F898" s="392"/>
      <c r="P898" s="460"/>
    </row>
    <row r="899" ht="15.75" customHeight="1">
      <c r="D899" s="541"/>
      <c r="E899" s="542"/>
      <c r="F899" s="392"/>
      <c r="P899" s="460"/>
    </row>
    <row r="900" ht="15.75" customHeight="1">
      <c r="D900" s="541"/>
      <c r="E900" s="542"/>
      <c r="F900" s="392"/>
      <c r="P900" s="460"/>
    </row>
    <row r="901" ht="15.75" customHeight="1">
      <c r="D901" s="541"/>
      <c r="E901" s="542"/>
      <c r="F901" s="392"/>
      <c r="P901" s="460"/>
    </row>
    <row r="902" ht="15.75" customHeight="1">
      <c r="D902" s="541"/>
      <c r="E902" s="542"/>
      <c r="F902" s="392"/>
      <c r="P902" s="460"/>
    </row>
    <row r="903" ht="15.75" customHeight="1">
      <c r="D903" s="541"/>
      <c r="E903" s="542"/>
      <c r="F903" s="392"/>
      <c r="P903" s="460"/>
    </row>
    <row r="904" ht="15.75" customHeight="1">
      <c r="D904" s="541"/>
      <c r="E904" s="542"/>
      <c r="F904" s="392"/>
      <c r="P904" s="460"/>
    </row>
    <row r="905" ht="15.75" customHeight="1">
      <c r="D905" s="541"/>
      <c r="E905" s="542"/>
      <c r="F905" s="392"/>
      <c r="P905" s="460"/>
    </row>
    <row r="906" ht="15.75" customHeight="1">
      <c r="D906" s="541"/>
      <c r="E906" s="542"/>
      <c r="F906" s="392"/>
      <c r="P906" s="460"/>
    </row>
    <row r="907" ht="15.75" customHeight="1">
      <c r="D907" s="541"/>
      <c r="E907" s="542"/>
      <c r="F907" s="392"/>
      <c r="P907" s="460"/>
    </row>
    <row r="908" ht="15.75" customHeight="1">
      <c r="D908" s="541"/>
      <c r="E908" s="542"/>
      <c r="F908" s="392"/>
      <c r="P908" s="460"/>
    </row>
    <row r="909" ht="15.75" customHeight="1">
      <c r="D909" s="541"/>
      <c r="E909" s="542"/>
      <c r="F909" s="392"/>
      <c r="P909" s="460"/>
    </row>
    <row r="910" ht="15.75" customHeight="1">
      <c r="D910" s="541"/>
      <c r="E910" s="542"/>
      <c r="F910" s="392"/>
      <c r="P910" s="460"/>
    </row>
    <row r="911" ht="15.75" customHeight="1">
      <c r="D911" s="541"/>
      <c r="E911" s="542"/>
      <c r="F911" s="392"/>
      <c r="P911" s="460"/>
    </row>
    <row r="912" ht="15.75" customHeight="1">
      <c r="D912" s="541"/>
      <c r="E912" s="542"/>
      <c r="F912" s="392"/>
      <c r="P912" s="460"/>
    </row>
    <row r="913" ht="15.75" customHeight="1">
      <c r="D913" s="541"/>
      <c r="E913" s="542"/>
      <c r="F913" s="392"/>
      <c r="P913" s="460"/>
    </row>
    <row r="914" ht="15.75" customHeight="1">
      <c r="D914" s="541"/>
      <c r="E914" s="542"/>
      <c r="F914" s="392"/>
      <c r="P914" s="460"/>
    </row>
    <row r="915" ht="15.75" customHeight="1">
      <c r="D915" s="541"/>
      <c r="E915" s="542"/>
      <c r="F915" s="392"/>
      <c r="P915" s="460"/>
    </row>
    <row r="916" ht="15.75" customHeight="1">
      <c r="D916" s="541"/>
      <c r="E916" s="542"/>
      <c r="F916" s="392"/>
      <c r="P916" s="460"/>
    </row>
    <row r="917" ht="15.75" customHeight="1">
      <c r="D917" s="541"/>
      <c r="E917" s="542"/>
      <c r="F917" s="392"/>
      <c r="P917" s="460"/>
    </row>
    <row r="918" ht="15.75" customHeight="1">
      <c r="D918" s="541"/>
      <c r="E918" s="542"/>
      <c r="F918" s="392"/>
      <c r="P918" s="460"/>
    </row>
    <row r="919" ht="15.75" customHeight="1">
      <c r="D919" s="541"/>
      <c r="E919" s="542"/>
      <c r="F919" s="392"/>
      <c r="P919" s="460"/>
    </row>
    <row r="920" ht="15.75" customHeight="1">
      <c r="D920" s="541"/>
      <c r="E920" s="542"/>
      <c r="F920" s="392"/>
      <c r="P920" s="460"/>
    </row>
    <row r="921" ht="15.75" customHeight="1">
      <c r="D921" s="541"/>
      <c r="E921" s="542"/>
      <c r="F921" s="392"/>
      <c r="P921" s="460"/>
    </row>
    <row r="922" ht="15.75" customHeight="1">
      <c r="D922" s="541"/>
      <c r="E922" s="542"/>
      <c r="F922" s="392"/>
      <c r="P922" s="460"/>
    </row>
    <row r="923" ht="15.75" customHeight="1">
      <c r="D923" s="541"/>
      <c r="E923" s="542"/>
      <c r="F923" s="392"/>
      <c r="P923" s="460"/>
    </row>
    <row r="924" ht="15.75" customHeight="1">
      <c r="D924" s="541"/>
      <c r="E924" s="542"/>
      <c r="F924" s="392"/>
      <c r="P924" s="460"/>
    </row>
    <row r="925" ht="15.75" customHeight="1">
      <c r="D925" s="541"/>
      <c r="E925" s="542"/>
      <c r="F925" s="392"/>
      <c r="P925" s="460"/>
    </row>
    <row r="926" ht="15.75" customHeight="1">
      <c r="D926" s="541"/>
      <c r="E926" s="542"/>
      <c r="F926" s="392"/>
      <c r="P926" s="460"/>
    </row>
    <row r="927" ht="15.75" customHeight="1">
      <c r="D927" s="541"/>
      <c r="E927" s="542"/>
      <c r="F927" s="392"/>
      <c r="P927" s="460"/>
    </row>
    <row r="928" ht="15.75" customHeight="1">
      <c r="D928" s="541"/>
      <c r="E928" s="542"/>
      <c r="F928" s="392"/>
      <c r="P928" s="460"/>
    </row>
    <row r="929" ht="15.75" customHeight="1">
      <c r="D929" s="541"/>
      <c r="E929" s="542"/>
      <c r="F929" s="392"/>
      <c r="P929" s="460"/>
    </row>
    <row r="930" ht="15.75" customHeight="1">
      <c r="D930" s="541"/>
      <c r="E930" s="542"/>
      <c r="F930" s="392"/>
      <c r="P930" s="460"/>
    </row>
    <row r="931" ht="15.75" customHeight="1">
      <c r="D931" s="541"/>
      <c r="E931" s="542"/>
      <c r="F931" s="392"/>
      <c r="P931" s="460"/>
    </row>
    <row r="932" ht="15.75" customHeight="1">
      <c r="D932" s="541"/>
      <c r="E932" s="542"/>
      <c r="F932" s="392"/>
      <c r="P932" s="460"/>
    </row>
    <row r="933" ht="15.75" customHeight="1">
      <c r="D933" s="541"/>
      <c r="E933" s="542"/>
      <c r="F933" s="392"/>
      <c r="P933" s="460"/>
    </row>
    <row r="934" ht="15.75" customHeight="1">
      <c r="D934" s="541"/>
      <c r="E934" s="542"/>
      <c r="F934" s="392"/>
      <c r="P934" s="460"/>
    </row>
    <row r="935" ht="15.75" customHeight="1">
      <c r="D935" s="541"/>
      <c r="E935" s="542"/>
      <c r="F935" s="392"/>
      <c r="P935" s="460"/>
    </row>
    <row r="936" ht="15.75" customHeight="1">
      <c r="D936" s="541"/>
      <c r="E936" s="542"/>
      <c r="F936" s="392"/>
      <c r="P936" s="460"/>
    </row>
    <row r="937" ht="15.75" customHeight="1">
      <c r="D937" s="541"/>
      <c r="E937" s="542"/>
      <c r="F937" s="392"/>
      <c r="P937" s="460"/>
    </row>
    <row r="938" ht="15.75" customHeight="1">
      <c r="D938" s="541"/>
      <c r="E938" s="542"/>
      <c r="F938" s="392"/>
      <c r="P938" s="460"/>
    </row>
    <row r="939" ht="15.75" customHeight="1">
      <c r="D939" s="541"/>
      <c r="E939" s="542"/>
      <c r="F939" s="392"/>
      <c r="P939" s="460"/>
    </row>
    <row r="940" ht="15.75" customHeight="1">
      <c r="D940" s="541"/>
      <c r="E940" s="542"/>
      <c r="F940" s="392"/>
      <c r="P940" s="460"/>
    </row>
    <row r="941" ht="15.75" customHeight="1">
      <c r="D941" s="541"/>
      <c r="E941" s="542"/>
      <c r="F941" s="392"/>
      <c r="P941" s="460"/>
    </row>
    <row r="942" ht="15.75" customHeight="1">
      <c r="D942" s="541"/>
      <c r="E942" s="542"/>
      <c r="F942" s="392"/>
      <c r="P942" s="460"/>
    </row>
    <row r="943" ht="15.75" customHeight="1">
      <c r="D943" s="541"/>
      <c r="E943" s="542"/>
      <c r="F943" s="392"/>
      <c r="P943" s="460"/>
    </row>
    <row r="944" ht="15.75" customHeight="1">
      <c r="D944" s="541"/>
      <c r="E944" s="542"/>
      <c r="F944" s="392"/>
      <c r="P944" s="460"/>
    </row>
    <row r="945" ht="15.75" customHeight="1">
      <c r="D945" s="541"/>
      <c r="E945" s="542"/>
      <c r="F945" s="392"/>
      <c r="P945" s="460"/>
    </row>
    <row r="946" ht="15.75" customHeight="1">
      <c r="D946" s="541"/>
      <c r="E946" s="542"/>
      <c r="F946" s="392"/>
      <c r="P946" s="460"/>
    </row>
    <row r="947" ht="15.75" customHeight="1">
      <c r="D947" s="541"/>
      <c r="E947" s="542"/>
      <c r="F947" s="392"/>
      <c r="P947" s="460"/>
    </row>
    <row r="948" ht="15.75" customHeight="1">
      <c r="D948" s="541"/>
      <c r="E948" s="542"/>
      <c r="F948" s="392"/>
      <c r="P948" s="460"/>
    </row>
    <row r="949" ht="15.75" customHeight="1">
      <c r="D949" s="541"/>
      <c r="E949" s="542"/>
      <c r="F949" s="392"/>
      <c r="P949" s="460"/>
    </row>
    <row r="950" ht="15.75" customHeight="1">
      <c r="D950" s="541"/>
      <c r="E950" s="542"/>
      <c r="F950" s="392"/>
      <c r="P950" s="460"/>
    </row>
    <row r="951" ht="15.75" customHeight="1">
      <c r="D951" s="541"/>
      <c r="E951" s="542"/>
      <c r="F951" s="392"/>
      <c r="P951" s="460"/>
    </row>
    <row r="952" ht="15.75" customHeight="1">
      <c r="D952" s="541"/>
      <c r="E952" s="542"/>
      <c r="F952" s="392"/>
      <c r="P952" s="460"/>
    </row>
    <row r="953" ht="15.75" customHeight="1">
      <c r="D953" s="541"/>
      <c r="E953" s="542"/>
      <c r="F953" s="392"/>
      <c r="P953" s="460"/>
    </row>
    <row r="954" ht="15.75" customHeight="1">
      <c r="D954" s="541"/>
      <c r="E954" s="542"/>
      <c r="F954" s="392"/>
      <c r="P954" s="460"/>
    </row>
    <row r="955" ht="15.75" customHeight="1">
      <c r="D955" s="541"/>
      <c r="E955" s="542"/>
      <c r="F955" s="392"/>
      <c r="P955" s="460"/>
    </row>
    <row r="956" ht="15.75" customHeight="1">
      <c r="D956" s="541"/>
      <c r="E956" s="542"/>
      <c r="F956" s="392"/>
      <c r="P956" s="460"/>
    </row>
    <row r="957" ht="15.75" customHeight="1">
      <c r="D957" s="541"/>
      <c r="E957" s="542"/>
      <c r="F957" s="392"/>
      <c r="P957" s="460"/>
    </row>
    <row r="958" ht="15.75" customHeight="1">
      <c r="D958" s="541"/>
      <c r="E958" s="542"/>
      <c r="F958" s="392"/>
      <c r="P958" s="460"/>
    </row>
    <row r="959" ht="15.75" customHeight="1">
      <c r="D959" s="541"/>
      <c r="E959" s="542"/>
      <c r="F959" s="392"/>
      <c r="P959" s="460"/>
    </row>
    <row r="960" ht="15.75" customHeight="1">
      <c r="D960" s="541"/>
      <c r="E960" s="542"/>
      <c r="F960" s="392"/>
      <c r="P960" s="460"/>
    </row>
    <row r="961" ht="15.75" customHeight="1">
      <c r="D961" s="541"/>
      <c r="E961" s="542"/>
      <c r="F961" s="392"/>
      <c r="P961" s="460"/>
    </row>
    <row r="962" ht="15.75" customHeight="1">
      <c r="D962" s="541"/>
      <c r="E962" s="542"/>
      <c r="F962" s="392"/>
      <c r="P962" s="460"/>
    </row>
    <row r="963" ht="15.75" customHeight="1">
      <c r="D963" s="541"/>
      <c r="E963" s="542"/>
      <c r="F963" s="392"/>
      <c r="P963" s="460"/>
    </row>
    <row r="964" ht="15.75" customHeight="1">
      <c r="D964" s="541"/>
      <c r="E964" s="542"/>
      <c r="F964" s="392"/>
      <c r="P964" s="460"/>
    </row>
    <row r="965" ht="15.75" customHeight="1">
      <c r="D965" s="541"/>
      <c r="E965" s="542"/>
      <c r="F965" s="392"/>
      <c r="P965" s="460"/>
    </row>
    <row r="966" ht="15.75" customHeight="1">
      <c r="D966" s="541"/>
      <c r="E966" s="542"/>
      <c r="F966" s="392"/>
      <c r="P966" s="460"/>
    </row>
    <row r="967" ht="15.75" customHeight="1">
      <c r="D967" s="541"/>
      <c r="E967" s="542"/>
      <c r="F967" s="392"/>
      <c r="P967" s="460"/>
    </row>
    <row r="968" ht="15.75" customHeight="1">
      <c r="D968" s="541"/>
      <c r="E968" s="542"/>
      <c r="F968" s="392"/>
      <c r="P968" s="460"/>
    </row>
    <row r="969" ht="15.75" customHeight="1">
      <c r="D969" s="541"/>
      <c r="E969" s="542"/>
      <c r="F969" s="392"/>
      <c r="P969" s="460"/>
    </row>
    <row r="970" ht="15.75" customHeight="1">
      <c r="D970" s="541"/>
      <c r="E970" s="542"/>
      <c r="F970" s="392"/>
      <c r="P970" s="460"/>
    </row>
    <row r="971" ht="15.75" customHeight="1">
      <c r="D971" s="541"/>
      <c r="E971" s="542"/>
      <c r="F971" s="392"/>
      <c r="P971" s="460"/>
    </row>
    <row r="972" ht="15.75" customHeight="1">
      <c r="D972" s="541"/>
      <c r="E972" s="542"/>
      <c r="F972" s="392"/>
      <c r="P972" s="460"/>
    </row>
    <row r="973" ht="15.75" customHeight="1">
      <c r="D973" s="541"/>
      <c r="E973" s="542"/>
      <c r="F973" s="392"/>
      <c r="P973" s="460"/>
    </row>
    <row r="974" ht="15.75" customHeight="1">
      <c r="D974" s="541"/>
      <c r="E974" s="542"/>
      <c r="F974" s="392"/>
      <c r="P974" s="460"/>
    </row>
    <row r="975" ht="15.75" customHeight="1">
      <c r="D975" s="541"/>
      <c r="E975" s="542"/>
      <c r="F975" s="392"/>
      <c r="P975" s="460"/>
    </row>
    <row r="976" ht="15.75" customHeight="1">
      <c r="D976" s="541"/>
      <c r="E976" s="542"/>
      <c r="F976" s="392"/>
      <c r="P976" s="460"/>
    </row>
    <row r="977" ht="15.75" customHeight="1">
      <c r="D977" s="541"/>
      <c r="E977" s="542"/>
      <c r="F977" s="392"/>
      <c r="P977" s="460"/>
    </row>
    <row r="978" ht="15.75" customHeight="1">
      <c r="D978" s="541"/>
      <c r="E978" s="542"/>
      <c r="F978" s="392"/>
      <c r="P978" s="460"/>
    </row>
    <row r="979" ht="15.75" customHeight="1">
      <c r="D979" s="541"/>
      <c r="E979" s="542"/>
      <c r="F979" s="392"/>
      <c r="P979" s="460"/>
    </row>
    <row r="980" ht="15.75" customHeight="1">
      <c r="D980" s="541"/>
      <c r="E980" s="542"/>
      <c r="F980" s="392"/>
      <c r="P980" s="460"/>
    </row>
    <row r="981" ht="15.75" customHeight="1">
      <c r="D981" s="541"/>
      <c r="E981" s="542"/>
      <c r="F981" s="392"/>
      <c r="P981" s="460"/>
    </row>
    <row r="982" ht="15.75" customHeight="1">
      <c r="D982" s="541"/>
      <c r="E982" s="542"/>
      <c r="F982" s="392"/>
      <c r="P982" s="460"/>
    </row>
    <row r="983" ht="15.75" customHeight="1">
      <c r="D983" s="541"/>
      <c r="E983" s="542"/>
      <c r="F983" s="392"/>
      <c r="P983" s="460"/>
    </row>
    <row r="984" ht="15.75" customHeight="1">
      <c r="D984" s="541"/>
      <c r="E984" s="542"/>
      <c r="F984" s="392"/>
      <c r="P984" s="460"/>
    </row>
    <row r="985" ht="15.75" customHeight="1">
      <c r="D985" s="541"/>
      <c r="E985" s="542"/>
      <c r="F985" s="392"/>
      <c r="P985" s="460"/>
    </row>
    <row r="986" ht="15.75" customHeight="1">
      <c r="D986" s="541"/>
      <c r="E986" s="542"/>
      <c r="F986" s="392"/>
      <c r="P986" s="460"/>
    </row>
    <row r="987" ht="15.75" customHeight="1">
      <c r="D987" s="541"/>
      <c r="E987" s="542"/>
      <c r="F987" s="392"/>
      <c r="P987" s="460"/>
    </row>
    <row r="988" ht="15.75" customHeight="1">
      <c r="D988" s="541"/>
      <c r="E988" s="542"/>
      <c r="F988" s="392"/>
      <c r="P988" s="460"/>
    </row>
    <row r="989" ht="15.75" customHeight="1">
      <c r="D989" s="541"/>
      <c r="E989" s="542"/>
      <c r="F989" s="392"/>
      <c r="P989" s="460"/>
    </row>
    <row r="990" ht="15.75" customHeight="1">
      <c r="D990" s="541"/>
      <c r="E990" s="542"/>
      <c r="F990" s="392"/>
      <c r="P990" s="460"/>
    </row>
    <row r="991" ht="15.75" customHeight="1">
      <c r="D991" s="541"/>
      <c r="E991" s="542"/>
      <c r="F991" s="392"/>
      <c r="P991" s="460"/>
    </row>
    <row r="992" ht="15.75" customHeight="1">
      <c r="D992" s="541"/>
      <c r="E992" s="542"/>
      <c r="F992" s="392"/>
      <c r="P992" s="460"/>
    </row>
    <row r="993" ht="15.75" customHeight="1">
      <c r="D993" s="541"/>
      <c r="E993" s="542"/>
      <c r="F993" s="392"/>
      <c r="P993" s="460"/>
    </row>
    <row r="994" ht="15.75" customHeight="1">
      <c r="D994" s="541"/>
      <c r="E994" s="542"/>
      <c r="F994" s="392"/>
      <c r="P994" s="460"/>
    </row>
    <row r="995" ht="15.75" customHeight="1">
      <c r="D995" s="541"/>
      <c r="E995" s="542"/>
      <c r="F995" s="392"/>
      <c r="P995" s="460"/>
    </row>
    <row r="996" ht="15.75" customHeight="1">
      <c r="D996" s="541"/>
      <c r="E996" s="542"/>
      <c r="F996" s="392"/>
      <c r="P996" s="460"/>
    </row>
    <row r="997" ht="15.75" customHeight="1">
      <c r="D997" s="541"/>
      <c r="E997" s="542"/>
      <c r="F997" s="392"/>
      <c r="P997" s="460"/>
    </row>
    <row r="998" ht="15.75" customHeight="1">
      <c r="D998" s="541"/>
      <c r="E998" s="542"/>
      <c r="F998" s="392"/>
      <c r="P998" s="460"/>
    </row>
    <row r="999" ht="15.75" customHeight="1">
      <c r="D999" s="541"/>
      <c r="E999" s="542"/>
      <c r="F999" s="392"/>
      <c r="P999" s="460"/>
    </row>
    <row r="1000" ht="15.75" customHeight="1">
      <c r="D1000" s="541"/>
      <c r="E1000" s="542"/>
      <c r="F1000" s="392"/>
      <c r="P1000" s="460"/>
    </row>
  </sheetData>
  <autoFilter ref="$A$5:$P$31"/>
  <mergeCells count="5">
    <mergeCell ref="A1:T3"/>
    <mergeCell ref="A4:C4"/>
    <mergeCell ref="D4:E4"/>
    <mergeCell ref="I4:J4"/>
    <mergeCell ref="K4:M4"/>
  </mergeCells>
  <conditionalFormatting sqref="D6:D31">
    <cfRule type="expression" dxfId="1" priority="1">
      <formula>countif(D:D,D6)&gt;1</formula>
    </cfRule>
  </conditionalFormatting>
  <dataValidations>
    <dataValidation type="list" allowBlank="1" showErrorMessage="1" sqref="I6:I31">
      <formula1>vol</formula1>
    </dataValidation>
    <dataValidation type="list" allowBlank="1" showErrorMessage="1" sqref="C6:C31">
      <formula1>periodestamp</formula1>
    </dataValidation>
    <dataValidation type="list" allowBlank="1" showErrorMessage="1" sqref="H6:H31">
      <formula1>jdn</formula1>
    </dataValidation>
    <dataValidation type="list" allowBlank="1" showErrorMessage="1" sqref="N6:N31">
      <formula1>ki</formula1>
    </dataValidation>
    <dataValidation type="list" allowBlank="1" showErrorMessage="1" sqref="G6:G31">
      <formula1>psv</formula1>
    </dataValidation>
    <dataValidation type="list" allowBlank="1" showErrorMessage="1" sqref="D6:D31">
      <formula1>nmperiset</formula1>
    </dataValidation>
    <dataValidation type="list" allowBlank="1" showErrorMessage="1" sqref="F6:F31">
      <formula1>kelris</formula1>
    </dataValidation>
    <dataValidation type="list" allowBlank="1" showErrorMessage="1" sqref="J6:J31">
      <formula1>satuan</formula1>
    </dataValidation>
    <dataValidation type="list" allowBlank="1" showErrorMessage="1" sqref="O6:O31">
      <formula1>de</formula1>
    </dataValidation>
    <dataValidation type="list" allowBlank="1" showErrorMessage="1" sqref="R6:R31">
      <formula1>stsupload</formula1>
    </dataValidation>
    <dataValidation type="list" allowBlank="1" showErrorMessage="1" sqref="K6:M31">
      <formula1>PI!$E$6:$E$200</formula1>
    </dataValidation>
  </dataValidations>
  <hyperlinks>
    <hyperlink r:id="rId1" ref="Q6"/>
    <hyperlink r:id="rId2" ref="S6"/>
    <hyperlink r:id="rId3" ref="T6"/>
    <hyperlink r:id="rId4" ref="Q7"/>
    <hyperlink r:id="rId5" ref="S7"/>
    <hyperlink r:id="rId6" ref="Q8"/>
    <hyperlink r:id="rId7" ref="Q9"/>
    <hyperlink r:id="rId8" ref="S9"/>
    <hyperlink r:id="rId9" ref="Q10"/>
    <hyperlink r:id="rId10" ref="Q11"/>
    <hyperlink r:id="rId11" ref="Q12"/>
    <hyperlink r:id="rId12" ref="Q13"/>
    <hyperlink r:id="rId13" ref="Q14"/>
    <hyperlink r:id="rId14" ref="Q15"/>
    <hyperlink r:id="rId15" ref="Q16"/>
    <hyperlink r:id="rId16" ref="Q17"/>
    <hyperlink r:id="rId17" ref="Q18"/>
    <hyperlink r:id="rId18" ref="Q19"/>
    <hyperlink r:id="rId19" ref="Q20"/>
    <hyperlink r:id="rId20" ref="Q21"/>
    <hyperlink r:id="rId21" ref="Q22"/>
    <hyperlink r:id="rId22" ref="Q23"/>
    <hyperlink r:id="rId23" ref="Q24"/>
    <hyperlink r:id="rId24" ref="Q25"/>
    <hyperlink r:id="rId25" ref="Q26"/>
    <hyperlink r:id="rId26" ref="Q27"/>
    <hyperlink r:id="rId27" ref="Q28"/>
    <hyperlink r:id="rId28" ref="Q29"/>
    <hyperlink r:id="rId29" ref="Q30"/>
    <hyperlink r:id="rId30" ref="Q31"/>
  </hyperlinks>
  <printOptions/>
  <pageMargins bottom="0.75" footer="0.0" header="0.0" left="0.7" right="0.7" top="0.75"/>
  <pageSetup orientation="landscape"/>
  <drawing r:id="rId3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1.22" defaultRowHeight="15.0"/>
  <cols>
    <col customWidth="1" min="1" max="1" width="4.11"/>
    <col customWidth="1" min="2" max="3" width="12.67"/>
    <col customWidth="1" min="4" max="4" width="23.78"/>
    <col customWidth="1" min="5" max="5" width="25.67"/>
    <col customWidth="1" min="6" max="6" width="10.89"/>
    <col customWidth="1" min="7" max="7" width="18.0"/>
    <col customWidth="1" min="8" max="8" width="15.56"/>
    <col customWidth="1" min="9" max="9" width="29.11"/>
    <col customWidth="1" min="10" max="10" width="11.89"/>
    <col customWidth="1" min="11" max="11" width="14.44"/>
    <col customWidth="1" min="12" max="12" width="11.11"/>
    <col customWidth="1" min="13" max="14" width="16.22"/>
    <col customWidth="1" min="15" max="15" width="49.89"/>
    <col customWidth="1" min="16" max="19" width="6.22"/>
  </cols>
  <sheetData>
    <row r="1">
      <c r="A1" s="333" t="s">
        <v>768</v>
      </c>
      <c r="P1" s="454"/>
      <c r="Q1" s="454"/>
      <c r="R1" s="454"/>
      <c r="S1" s="454"/>
    </row>
    <row r="2">
      <c r="P2" s="454"/>
      <c r="Q2" s="454"/>
      <c r="R2" s="454"/>
      <c r="S2" s="454"/>
    </row>
    <row r="3">
      <c r="P3" s="454"/>
      <c r="Q3" s="454"/>
      <c r="R3" s="454"/>
      <c r="S3" s="454"/>
    </row>
    <row r="4" ht="15.75" customHeight="1">
      <c r="A4" s="211" t="s">
        <v>1</v>
      </c>
      <c r="B4" s="3"/>
      <c r="C4" s="4"/>
      <c r="D4" s="212" t="s">
        <v>2</v>
      </c>
      <c r="E4" s="6"/>
      <c r="F4" s="457"/>
      <c r="G4" s="538"/>
      <c r="H4" s="539"/>
      <c r="I4" s="543"/>
      <c r="K4" s="458"/>
      <c r="L4" s="458"/>
    </row>
    <row r="5">
      <c r="A5" s="544" t="s">
        <v>5</v>
      </c>
      <c r="B5" s="545" t="s">
        <v>6</v>
      </c>
      <c r="C5" s="545" t="s">
        <v>7</v>
      </c>
      <c r="D5" s="346" t="s">
        <v>769</v>
      </c>
      <c r="E5" s="346" t="s">
        <v>10</v>
      </c>
      <c r="F5" s="346" t="s">
        <v>770</v>
      </c>
      <c r="G5" s="346" t="s">
        <v>771</v>
      </c>
      <c r="H5" s="346" t="s">
        <v>13</v>
      </c>
      <c r="I5" s="346" t="s">
        <v>601</v>
      </c>
      <c r="J5" s="546" t="s">
        <v>750</v>
      </c>
      <c r="K5" s="547" t="s">
        <v>772</v>
      </c>
      <c r="L5" s="467" t="s">
        <v>473</v>
      </c>
      <c r="M5" s="468" t="s">
        <v>773</v>
      </c>
      <c r="N5" s="468" t="s">
        <v>474</v>
      </c>
      <c r="O5" s="469" t="s">
        <v>20</v>
      </c>
    </row>
    <row r="6" ht="37.5" customHeight="1">
      <c r="A6" s="548">
        <v>1.0</v>
      </c>
      <c r="B6" s="351">
        <f t="shared" ref="B6:B62" si="1">IF(D6&lt;&gt;"",IF(B6="",NOW(),B6),"")</f>
        <v>45444.41756</v>
      </c>
      <c r="C6" s="549"/>
      <c r="D6" s="550" t="s">
        <v>67</v>
      </c>
      <c r="E6" s="551"/>
      <c r="F6" s="552"/>
      <c r="G6" s="553"/>
      <c r="H6" s="554"/>
      <c r="I6" s="555"/>
      <c r="J6" s="37" t="s">
        <v>774</v>
      </c>
      <c r="K6" s="556"/>
      <c r="L6" s="557"/>
      <c r="M6" s="558"/>
      <c r="N6" s="558"/>
      <c r="O6" s="559"/>
    </row>
    <row r="7" ht="37.5" customHeight="1">
      <c r="A7" s="560">
        <v>2.0</v>
      </c>
      <c r="B7" s="351">
        <f t="shared" si="1"/>
        <v>45444.41759</v>
      </c>
      <c r="C7" s="561"/>
      <c r="D7" s="562" t="s">
        <v>68</v>
      </c>
      <c r="E7" s="563"/>
      <c r="F7" s="564" t="s">
        <v>775</v>
      </c>
      <c r="G7" s="565" t="s">
        <v>650</v>
      </c>
      <c r="H7" s="566" t="s">
        <v>776</v>
      </c>
      <c r="I7" s="567" t="s">
        <v>777</v>
      </c>
      <c r="J7" s="37" t="s">
        <v>774</v>
      </c>
      <c r="K7" s="556"/>
      <c r="L7" s="568"/>
      <c r="M7" s="569">
        <v>2023.0</v>
      </c>
      <c r="N7" s="570" t="s">
        <v>778</v>
      </c>
      <c r="O7" s="571" t="s">
        <v>779</v>
      </c>
    </row>
    <row r="8" ht="37.5" customHeight="1">
      <c r="A8" s="548">
        <v>3.0</v>
      </c>
      <c r="B8" s="351">
        <f t="shared" si="1"/>
        <v>45444.41765</v>
      </c>
      <c r="C8" s="572"/>
      <c r="D8" s="573" t="s">
        <v>69</v>
      </c>
      <c r="E8" s="574"/>
      <c r="F8" s="575"/>
      <c r="G8" s="553"/>
      <c r="H8" s="576"/>
      <c r="I8" s="577"/>
      <c r="J8" s="37" t="s">
        <v>774</v>
      </c>
      <c r="K8" s="556"/>
      <c r="L8" s="568"/>
      <c r="M8" s="578"/>
      <c r="N8" s="578"/>
      <c r="O8" s="579"/>
    </row>
    <row r="9" ht="37.5" customHeight="1">
      <c r="A9" s="560">
        <v>4.0</v>
      </c>
      <c r="B9" s="351">
        <f t="shared" si="1"/>
        <v>45444.41892</v>
      </c>
      <c r="C9" s="572"/>
      <c r="D9" s="573" t="s">
        <v>153</v>
      </c>
      <c r="E9" s="580" t="s">
        <v>23</v>
      </c>
      <c r="F9" s="581" t="s">
        <v>775</v>
      </c>
      <c r="G9" s="553"/>
      <c r="H9" s="582" t="s">
        <v>780</v>
      </c>
      <c r="I9" s="583" t="s">
        <v>781</v>
      </c>
      <c r="J9" s="37" t="s">
        <v>774</v>
      </c>
      <c r="K9" s="556"/>
      <c r="L9" s="568"/>
      <c r="M9" s="578"/>
      <c r="N9" s="578"/>
      <c r="O9" s="579"/>
    </row>
    <row r="10" ht="37.5" customHeight="1">
      <c r="A10" s="548">
        <v>5.0</v>
      </c>
      <c r="B10" s="351">
        <f t="shared" si="1"/>
        <v>45444.41901</v>
      </c>
      <c r="C10" s="572"/>
      <c r="D10" s="493" t="s">
        <v>190</v>
      </c>
      <c r="E10" s="580" t="s">
        <v>23</v>
      </c>
      <c r="F10" s="581" t="s">
        <v>775</v>
      </c>
      <c r="G10" s="565" t="s">
        <v>782</v>
      </c>
      <c r="H10" s="584" t="s">
        <v>780</v>
      </c>
      <c r="I10" s="583" t="s">
        <v>783</v>
      </c>
      <c r="J10" s="37" t="s">
        <v>774</v>
      </c>
      <c r="K10" s="556"/>
      <c r="L10" s="585" t="s">
        <v>481</v>
      </c>
      <c r="M10" s="569"/>
      <c r="N10" s="570" t="s">
        <v>778</v>
      </c>
      <c r="O10" s="586" t="s">
        <v>784</v>
      </c>
    </row>
    <row r="11" ht="37.5" customHeight="1">
      <c r="A11" s="560">
        <v>6.0</v>
      </c>
      <c r="B11" s="351">
        <f t="shared" si="1"/>
        <v>45444.41904</v>
      </c>
      <c r="C11" s="587" t="s">
        <v>156</v>
      </c>
      <c r="D11" s="493" t="s">
        <v>329</v>
      </c>
      <c r="E11" s="580" t="s">
        <v>23</v>
      </c>
      <c r="F11" s="588" t="s">
        <v>785</v>
      </c>
      <c r="G11" s="565" t="s">
        <v>786</v>
      </c>
      <c r="H11" s="584" t="s">
        <v>787</v>
      </c>
      <c r="I11" s="583" t="s">
        <v>788</v>
      </c>
      <c r="J11" s="37" t="s">
        <v>774</v>
      </c>
      <c r="K11" s="556"/>
      <c r="L11" s="585" t="s">
        <v>481</v>
      </c>
      <c r="M11" s="569">
        <v>2024.0</v>
      </c>
      <c r="N11" s="570" t="s">
        <v>789</v>
      </c>
      <c r="O11" s="571" t="s">
        <v>790</v>
      </c>
    </row>
    <row r="12" ht="37.5" customHeight="1">
      <c r="A12" s="548">
        <v>7.0</v>
      </c>
      <c r="B12" s="351">
        <f t="shared" si="1"/>
        <v>45444.4192</v>
      </c>
      <c r="C12" s="572"/>
      <c r="D12" s="493" t="s">
        <v>269</v>
      </c>
      <c r="E12" s="580" t="s">
        <v>46</v>
      </c>
      <c r="F12" s="588" t="s">
        <v>775</v>
      </c>
      <c r="G12" s="565" t="s">
        <v>786</v>
      </c>
      <c r="H12" s="584" t="s">
        <v>787</v>
      </c>
      <c r="I12" s="583" t="s">
        <v>791</v>
      </c>
      <c r="J12" s="37" t="s">
        <v>774</v>
      </c>
      <c r="K12" s="556"/>
      <c r="L12" s="568"/>
      <c r="M12" s="578"/>
      <c r="N12" s="578"/>
      <c r="O12" s="579"/>
    </row>
    <row r="13" ht="37.5" customHeight="1">
      <c r="A13" s="560">
        <v>8.0</v>
      </c>
      <c r="B13" s="351">
        <f t="shared" si="1"/>
        <v>45444.41928</v>
      </c>
      <c r="C13" s="572"/>
      <c r="D13" s="493" t="s">
        <v>70</v>
      </c>
      <c r="E13" s="574"/>
      <c r="F13" s="589"/>
      <c r="G13" s="553"/>
      <c r="H13" s="590"/>
      <c r="I13" s="577"/>
      <c r="J13" s="37" t="s">
        <v>774</v>
      </c>
      <c r="K13" s="556"/>
      <c r="L13" s="568"/>
      <c r="M13" s="578"/>
      <c r="N13" s="578"/>
      <c r="O13" s="579"/>
    </row>
    <row r="14" ht="37.5" customHeight="1">
      <c r="A14" s="548">
        <v>9.0</v>
      </c>
      <c r="B14" s="351">
        <f t="shared" si="1"/>
        <v>45444.41956</v>
      </c>
      <c r="C14" s="572"/>
      <c r="D14" s="493" t="s">
        <v>137</v>
      </c>
      <c r="E14" s="574"/>
      <c r="F14" s="589"/>
      <c r="G14" s="553"/>
      <c r="H14" s="590"/>
      <c r="I14" s="577"/>
      <c r="J14" s="37" t="s">
        <v>774</v>
      </c>
      <c r="K14" s="556"/>
      <c r="L14" s="568"/>
      <c r="M14" s="578"/>
      <c r="N14" s="578"/>
      <c r="O14" s="579"/>
    </row>
    <row r="15" ht="37.5" customHeight="1">
      <c r="A15" s="560">
        <v>10.0</v>
      </c>
      <c r="B15" s="351">
        <f t="shared" si="1"/>
        <v>45444.41974</v>
      </c>
      <c r="C15" s="587"/>
      <c r="D15" s="495" t="s">
        <v>409</v>
      </c>
      <c r="E15" s="591" t="s">
        <v>46</v>
      </c>
      <c r="F15" s="588" t="s">
        <v>775</v>
      </c>
      <c r="G15" s="553"/>
      <c r="H15" s="584" t="s">
        <v>780</v>
      </c>
      <c r="I15" s="583" t="s">
        <v>792</v>
      </c>
      <c r="J15" s="37" t="s">
        <v>774</v>
      </c>
      <c r="K15" s="556"/>
      <c r="L15" s="585"/>
      <c r="M15" s="578"/>
      <c r="N15" s="578"/>
      <c r="O15" s="579"/>
    </row>
    <row r="16" ht="37.5" customHeight="1">
      <c r="A16" s="548">
        <v>11.0</v>
      </c>
      <c r="B16" s="351">
        <f t="shared" si="1"/>
        <v>45444.41988</v>
      </c>
      <c r="C16" s="592"/>
      <c r="D16" s="495" t="s">
        <v>178</v>
      </c>
      <c r="E16" s="591" t="s">
        <v>46</v>
      </c>
      <c r="F16" s="588" t="s">
        <v>775</v>
      </c>
      <c r="G16" s="553"/>
      <c r="H16" s="584" t="s">
        <v>780</v>
      </c>
      <c r="I16" s="583" t="s">
        <v>793</v>
      </c>
      <c r="J16" s="37" t="s">
        <v>774</v>
      </c>
      <c r="K16" s="556"/>
      <c r="L16" s="568"/>
      <c r="M16" s="578"/>
      <c r="N16" s="578"/>
      <c r="O16" s="579"/>
    </row>
    <row r="17" ht="37.5" customHeight="1">
      <c r="A17" s="560">
        <v>12.0</v>
      </c>
      <c r="B17" s="351">
        <f t="shared" si="1"/>
        <v>45444.41996</v>
      </c>
      <c r="C17" s="592"/>
      <c r="D17" s="495" t="s">
        <v>177</v>
      </c>
      <c r="E17" s="591" t="s">
        <v>46</v>
      </c>
      <c r="F17" s="588" t="s">
        <v>775</v>
      </c>
      <c r="G17" s="565"/>
      <c r="H17" s="584" t="s">
        <v>780</v>
      </c>
      <c r="I17" s="593" t="s">
        <v>794</v>
      </c>
      <c r="J17" s="37" t="s">
        <v>774</v>
      </c>
      <c r="K17" s="556"/>
      <c r="L17" s="568"/>
      <c r="M17" s="578"/>
      <c r="N17" s="578"/>
      <c r="O17" s="579"/>
    </row>
    <row r="18" ht="37.5" customHeight="1">
      <c r="A18" s="548">
        <v>13.0</v>
      </c>
      <c r="B18" s="351">
        <f t="shared" si="1"/>
        <v>45444.42016</v>
      </c>
      <c r="C18" s="592"/>
      <c r="D18" s="495" t="s">
        <v>196</v>
      </c>
      <c r="E18" s="594"/>
      <c r="F18" s="589"/>
      <c r="G18" s="553"/>
      <c r="H18" s="590"/>
      <c r="I18" s="577"/>
      <c r="J18" s="37" t="s">
        <v>774</v>
      </c>
      <c r="K18" s="556"/>
      <c r="L18" s="568"/>
      <c r="M18" s="578"/>
      <c r="N18" s="578"/>
      <c r="O18" s="579"/>
    </row>
    <row r="19" ht="37.5" customHeight="1">
      <c r="A19" s="560">
        <v>14.0</v>
      </c>
      <c r="B19" s="351">
        <f t="shared" si="1"/>
        <v>45444.42022</v>
      </c>
      <c r="C19" s="592"/>
      <c r="D19" s="495" t="s">
        <v>179</v>
      </c>
      <c r="E19" s="595" t="s">
        <v>46</v>
      </c>
      <c r="F19" s="588" t="s">
        <v>775</v>
      </c>
      <c r="G19" s="565" t="s">
        <v>650</v>
      </c>
      <c r="H19" s="584" t="s">
        <v>780</v>
      </c>
      <c r="I19" s="593" t="s">
        <v>792</v>
      </c>
      <c r="J19" s="37" t="s">
        <v>774</v>
      </c>
      <c r="K19" s="556"/>
      <c r="L19" s="585" t="s">
        <v>489</v>
      </c>
      <c r="M19" s="578"/>
      <c r="N19" s="578"/>
      <c r="O19" s="579"/>
    </row>
    <row r="20" ht="37.5" customHeight="1">
      <c r="A20" s="548">
        <v>15.0</v>
      </c>
      <c r="B20" s="351">
        <f t="shared" si="1"/>
        <v>45444.42039</v>
      </c>
      <c r="C20" s="592"/>
      <c r="D20" s="495" t="s">
        <v>125</v>
      </c>
      <c r="E20" s="591" t="s">
        <v>46</v>
      </c>
      <c r="F20" s="588" t="s">
        <v>775</v>
      </c>
      <c r="G20" s="565" t="s">
        <v>795</v>
      </c>
      <c r="H20" s="584" t="s">
        <v>776</v>
      </c>
      <c r="I20" s="596" t="s">
        <v>796</v>
      </c>
      <c r="J20" s="37" t="s">
        <v>774</v>
      </c>
      <c r="K20" s="556"/>
      <c r="L20" s="585" t="s">
        <v>489</v>
      </c>
      <c r="M20" s="569"/>
      <c r="N20" s="569"/>
      <c r="O20" s="571" t="s">
        <v>797</v>
      </c>
    </row>
    <row r="21" ht="37.5" customHeight="1">
      <c r="A21" s="560">
        <v>16.0</v>
      </c>
      <c r="B21" s="351">
        <f t="shared" si="1"/>
        <v>45444.42056</v>
      </c>
      <c r="C21" s="592"/>
      <c r="D21" s="495" t="s">
        <v>124</v>
      </c>
      <c r="E21" s="591" t="s">
        <v>46</v>
      </c>
      <c r="F21" s="588" t="s">
        <v>785</v>
      </c>
      <c r="G21" s="565" t="s">
        <v>650</v>
      </c>
      <c r="H21" s="584" t="s">
        <v>776</v>
      </c>
      <c r="I21" s="583" t="s">
        <v>798</v>
      </c>
      <c r="J21" s="37" t="s">
        <v>774</v>
      </c>
      <c r="K21" s="556"/>
      <c r="L21" s="585" t="s">
        <v>489</v>
      </c>
      <c r="M21" s="569"/>
      <c r="N21" s="569"/>
      <c r="O21" s="597" t="s">
        <v>799</v>
      </c>
    </row>
    <row r="22" ht="37.5" customHeight="1">
      <c r="A22" s="548">
        <v>17.0</v>
      </c>
      <c r="B22" s="351">
        <f t="shared" si="1"/>
        <v>45444.42088</v>
      </c>
      <c r="C22" s="592"/>
      <c r="D22" s="495" t="s">
        <v>308</v>
      </c>
      <c r="E22" s="591" t="s">
        <v>108</v>
      </c>
      <c r="F22" s="588" t="s">
        <v>775</v>
      </c>
      <c r="G22" s="553"/>
      <c r="H22" s="590"/>
      <c r="I22" s="577"/>
      <c r="J22" s="37" t="s">
        <v>774</v>
      </c>
      <c r="K22" s="556"/>
      <c r="L22" s="568"/>
      <c r="M22" s="578"/>
      <c r="N22" s="578"/>
      <c r="O22" s="579"/>
    </row>
    <row r="23" ht="37.5" customHeight="1">
      <c r="A23" s="560">
        <v>18.0</v>
      </c>
      <c r="B23" s="351">
        <f t="shared" si="1"/>
        <v>45444.42343</v>
      </c>
      <c r="C23" s="592"/>
      <c r="D23" s="495" t="s">
        <v>40</v>
      </c>
      <c r="E23" s="591" t="s">
        <v>34</v>
      </c>
      <c r="F23" s="588" t="s">
        <v>775</v>
      </c>
      <c r="G23" s="565" t="s">
        <v>786</v>
      </c>
      <c r="H23" s="584" t="s">
        <v>787</v>
      </c>
      <c r="I23" s="583" t="s">
        <v>791</v>
      </c>
      <c r="J23" s="37" t="s">
        <v>774</v>
      </c>
      <c r="K23" s="556"/>
      <c r="L23" s="585" t="s">
        <v>481</v>
      </c>
      <c r="M23" s="569">
        <v>2023.0</v>
      </c>
      <c r="N23" s="570" t="s">
        <v>800</v>
      </c>
      <c r="O23" s="571" t="s">
        <v>801</v>
      </c>
    </row>
    <row r="24" ht="37.5" customHeight="1">
      <c r="A24" s="548">
        <v>19.0</v>
      </c>
      <c r="B24" s="351">
        <f t="shared" si="1"/>
        <v>45444.45288</v>
      </c>
      <c r="C24" s="592"/>
      <c r="D24" s="495" t="s">
        <v>109</v>
      </c>
      <c r="E24" s="591" t="s">
        <v>108</v>
      </c>
      <c r="F24" s="588" t="s">
        <v>775</v>
      </c>
      <c r="G24" s="553"/>
      <c r="H24" s="584"/>
      <c r="I24" s="577"/>
      <c r="J24" s="37" t="s">
        <v>774</v>
      </c>
      <c r="K24" s="556"/>
      <c r="L24" s="585" t="s">
        <v>489</v>
      </c>
      <c r="M24" s="578"/>
      <c r="N24" s="578"/>
      <c r="O24" s="579"/>
    </row>
    <row r="25" ht="37.5" customHeight="1">
      <c r="A25" s="560">
        <v>20.0</v>
      </c>
      <c r="B25" s="351">
        <f t="shared" si="1"/>
        <v>45444.52426</v>
      </c>
      <c r="C25" s="598"/>
      <c r="D25" s="599" t="s">
        <v>37</v>
      </c>
      <c r="E25" s="591" t="s">
        <v>34</v>
      </c>
      <c r="F25" s="588" t="s">
        <v>775</v>
      </c>
      <c r="G25" s="565" t="s">
        <v>786</v>
      </c>
      <c r="H25" s="584" t="s">
        <v>787</v>
      </c>
      <c r="I25" s="583" t="s">
        <v>802</v>
      </c>
      <c r="J25" s="37" t="s">
        <v>774</v>
      </c>
      <c r="K25" s="556"/>
      <c r="L25" s="585" t="s">
        <v>481</v>
      </c>
      <c r="M25" s="600">
        <v>2023.0</v>
      </c>
      <c r="N25" s="601" t="s">
        <v>803</v>
      </c>
      <c r="O25" s="602"/>
    </row>
    <row r="26" ht="37.5" customHeight="1">
      <c r="A26" s="548">
        <v>21.0</v>
      </c>
      <c r="B26" s="351">
        <f t="shared" si="1"/>
        <v>45444.54819</v>
      </c>
      <c r="C26" s="592"/>
      <c r="D26" s="488" t="s">
        <v>461</v>
      </c>
      <c r="E26" s="591" t="s">
        <v>58</v>
      </c>
      <c r="F26" s="588" t="s">
        <v>775</v>
      </c>
      <c r="G26" s="565" t="s">
        <v>804</v>
      </c>
      <c r="H26" s="584" t="s">
        <v>787</v>
      </c>
      <c r="I26" s="583" t="s">
        <v>802</v>
      </c>
      <c r="J26" s="37" t="s">
        <v>774</v>
      </c>
      <c r="K26" s="556"/>
      <c r="L26" s="585" t="s">
        <v>489</v>
      </c>
      <c r="M26" s="578"/>
      <c r="N26" s="578"/>
      <c r="O26" s="579"/>
    </row>
    <row r="27" ht="37.5" customHeight="1">
      <c r="A27" s="560">
        <v>22.0</v>
      </c>
      <c r="B27" s="351" t="str">
        <f t="shared" si="1"/>
        <v/>
      </c>
      <c r="C27" s="592"/>
      <c r="D27" s="488"/>
      <c r="E27" s="591"/>
      <c r="F27" s="588"/>
      <c r="G27" s="565"/>
      <c r="H27" s="584" t="s">
        <v>780</v>
      </c>
      <c r="I27" s="596"/>
      <c r="J27" s="37" t="s">
        <v>774</v>
      </c>
      <c r="K27" s="556"/>
      <c r="L27" s="585" t="s">
        <v>481</v>
      </c>
      <c r="M27" s="578"/>
      <c r="N27" s="578"/>
      <c r="O27" s="579"/>
    </row>
    <row r="28" ht="37.5" customHeight="1">
      <c r="A28" s="548">
        <v>23.0</v>
      </c>
      <c r="B28" s="351">
        <f t="shared" si="1"/>
        <v>45444.55336</v>
      </c>
      <c r="C28" s="592"/>
      <c r="D28" s="488" t="s">
        <v>123</v>
      </c>
      <c r="E28" s="591" t="s">
        <v>108</v>
      </c>
      <c r="F28" s="588" t="s">
        <v>775</v>
      </c>
      <c r="G28" s="553"/>
      <c r="H28" s="590"/>
      <c r="I28" s="603"/>
      <c r="J28" s="37" t="s">
        <v>774</v>
      </c>
      <c r="K28" s="556"/>
      <c r="L28" s="568"/>
      <c r="M28" s="578"/>
      <c r="N28" s="578"/>
      <c r="O28" s="579"/>
    </row>
    <row r="29" ht="37.5" customHeight="1">
      <c r="A29" s="560">
        <v>24.0</v>
      </c>
      <c r="B29" s="351">
        <f t="shared" si="1"/>
        <v>45445.61602</v>
      </c>
      <c r="C29" s="561"/>
      <c r="D29" s="488" t="s">
        <v>405</v>
      </c>
      <c r="E29" s="591" t="s">
        <v>34</v>
      </c>
      <c r="F29" s="588" t="s">
        <v>775</v>
      </c>
      <c r="G29" s="565" t="s">
        <v>786</v>
      </c>
      <c r="H29" s="584" t="s">
        <v>780</v>
      </c>
      <c r="I29" s="583" t="s">
        <v>805</v>
      </c>
      <c r="J29" s="37" t="s">
        <v>774</v>
      </c>
      <c r="K29" s="556"/>
      <c r="L29" s="568"/>
      <c r="M29" s="578"/>
      <c r="N29" s="578"/>
      <c r="O29" s="579"/>
    </row>
    <row r="30" ht="37.5" customHeight="1">
      <c r="A30" s="548">
        <v>25.0</v>
      </c>
      <c r="B30" s="351">
        <f t="shared" si="1"/>
        <v>45445.61602</v>
      </c>
      <c r="C30" s="604"/>
      <c r="D30" s="488" t="s">
        <v>447</v>
      </c>
      <c r="E30" s="591" t="s">
        <v>58</v>
      </c>
      <c r="F30" s="588" t="s">
        <v>785</v>
      </c>
      <c r="G30" s="565" t="s">
        <v>806</v>
      </c>
      <c r="H30" s="584" t="s">
        <v>776</v>
      </c>
      <c r="I30" s="583" t="s">
        <v>807</v>
      </c>
      <c r="J30" s="37" t="s">
        <v>774</v>
      </c>
      <c r="K30" s="556"/>
      <c r="L30" s="585" t="s">
        <v>489</v>
      </c>
      <c r="M30" s="578"/>
      <c r="N30" s="578"/>
      <c r="O30" s="579"/>
    </row>
    <row r="31" ht="37.5" customHeight="1">
      <c r="A31" s="560">
        <v>26.0</v>
      </c>
      <c r="B31" s="351">
        <f t="shared" si="1"/>
        <v>45445.61602</v>
      </c>
      <c r="C31" s="604"/>
      <c r="D31" s="488" t="s">
        <v>39</v>
      </c>
      <c r="E31" s="591" t="s">
        <v>34</v>
      </c>
      <c r="F31" s="588" t="s">
        <v>775</v>
      </c>
      <c r="G31" s="565" t="s">
        <v>650</v>
      </c>
      <c r="H31" s="584" t="s">
        <v>780</v>
      </c>
      <c r="I31" s="605" t="s">
        <v>808</v>
      </c>
      <c r="J31" s="37" t="s">
        <v>774</v>
      </c>
      <c r="K31" s="556"/>
      <c r="L31" s="568"/>
      <c r="M31" s="578"/>
      <c r="N31" s="578"/>
      <c r="O31" s="579"/>
    </row>
    <row r="32" ht="37.5" customHeight="1">
      <c r="A32" s="548">
        <v>27.0</v>
      </c>
      <c r="B32" s="351">
        <f t="shared" si="1"/>
        <v>45445.96536</v>
      </c>
      <c r="C32" s="592"/>
      <c r="D32" s="488" t="s">
        <v>122</v>
      </c>
      <c r="E32" s="591" t="s">
        <v>108</v>
      </c>
      <c r="F32" s="588" t="s">
        <v>775</v>
      </c>
      <c r="G32" s="565" t="s">
        <v>650</v>
      </c>
      <c r="H32" s="584" t="s">
        <v>780</v>
      </c>
      <c r="I32" s="605" t="s">
        <v>809</v>
      </c>
      <c r="J32" s="37" t="s">
        <v>774</v>
      </c>
      <c r="K32" s="556"/>
      <c r="L32" s="585" t="s">
        <v>489</v>
      </c>
      <c r="M32" s="606"/>
      <c r="N32" s="606"/>
      <c r="O32" s="607"/>
    </row>
    <row r="33" ht="37.5" customHeight="1">
      <c r="A33" s="560">
        <v>28.0</v>
      </c>
      <c r="B33" s="351">
        <f t="shared" si="1"/>
        <v>45446.3235</v>
      </c>
      <c r="C33" s="592"/>
      <c r="D33" s="488" t="s">
        <v>126</v>
      </c>
      <c r="E33" s="591" t="s">
        <v>108</v>
      </c>
      <c r="F33" s="588" t="s">
        <v>775</v>
      </c>
      <c r="G33" s="565" t="s">
        <v>810</v>
      </c>
      <c r="H33" s="584" t="s">
        <v>780</v>
      </c>
      <c r="I33" s="605" t="s">
        <v>811</v>
      </c>
      <c r="J33" s="37" t="s">
        <v>774</v>
      </c>
      <c r="K33" s="556"/>
      <c r="L33" s="585" t="s">
        <v>489</v>
      </c>
      <c r="M33" s="608"/>
      <c r="N33" s="608"/>
      <c r="O33" s="609"/>
    </row>
    <row r="34" ht="37.5" customHeight="1">
      <c r="A34" s="548">
        <v>29.0</v>
      </c>
      <c r="B34" s="351">
        <f t="shared" si="1"/>
        <v>45446.36044</v>
      </c>
      <c r="C34" s="592"/>
      <c r="D34" s="610" t="s">
        <v>444</v>
      </c>
      <c r="E34" s="591" t="s">
        <v>58</v>
      </c>
      <c r="F34" s="588" t="s">
        <v>775</v>
      </c>
      <c r="G34" s="553"/>
      <c r="H34" s="590"/>
      <c r="I34" s="611"/>
      <c r="J34" s="37" t="s">
        <v>774</v>
      </c>
      <c r="K34" s="556"/>
      <c r="L34" s="568"/>
      <c r="M34" s="606"/>
      <c r="N34" s="606"/>
      <c r="O34" s="607"/>
    </row>
    <row r="35" ht="37.5" customHeight="1">
      <c r="A35" s="560">
        <v>30.0</v>
      </c>
      <c r="B35" s="351">
        <f t="shared" si="1"/>
        <v>45446.36044</v>
      </c>
      <c r="C35" s="592"/>
      <c r="D35" s="488" t="s">
        <v>443</v>
      </c>
      <c r="E35" s="591" t="s">
        <v>58</v>
      </c>
      <c r="F35" s="588" t="s">
        <v>785</v>
      </c>
      <c r="G35" s="565" t="s">
        <v>650</v>
      </c>
      <c r="H35" s="584" t="s">
        <v>776</v>
      </c>
      <c r="I35" s="583" t="s">
        <v>812</v>
      </c>
      <c r="J35" s="37" t="s">
        <v>774</v>
      </c>
      <c r="K35" s="556"/>
      <c r="L35" s="568"/>
      <c r="M35" s="606"/>
      <c r="N35" s="606"/>
      <c r="O35" s="607"/>
    </row>
    <row r="36" ht="37.5" customHeight="1">
      <c r="A36" s="548">
        <v>31.0</v>
      </c>
      <c r="B36" s="351" t="str">
        <f t="shared" si="1"/>
        <v/>
      </c>
      <c r="C36" s="592"/>
      <c r="D36" s="488"/>
      <c r="E36" s="591"/>
      <c r="F36" s="588"/>
      <c r="G36" s="565"/>
      <c r="H36" s="584"/>
      <c r="I36" s="583"/>
      <c r="J36" s="37" t="s">
        <v>774</v>
      </c>
      <c r="K36" s="556"/>
      <c r="L36" s="568"/>
      <c r="M36" s="606"/>
      <c r="N36" s="606"/>
      <c r="O36" s="607"/>
    </row>
    <row r="37" ht="37.5" customHeight="1">
      <c r="A37" s="560">
        <v>32.0</v>
      </c>
      <c r="B37" s="351">
        <f t="shared" si="1"/>
        <v>45446.36856</v>
      </c>
      <c r="C37" s="592"/>
      <c r="D37" s="612" t="s">
        <v>813</v>
      </c>
      <c r="E37" s="591" t="s">
        <v>58</v>
      </c>
      <c r="F37" s="588" t="s">
        <v>785</v>
      </c>
      <c r="G37" s="565" t="s">
        <v>814</v>
      </c>
      <c r="H37" s="584" t="s">
        <v>815</v>
      </c>
      <c r="I37" s="605" t="s">
        <v>816</v>
      </c>
      <c r="J37" s="37" t="s">
        <v>774</v>
      </c>
      <c r="K37" s="556"/>
      <c r="L37" s="585" t="s">
        <v>489</v>
      </c>
      <c r="M37" s="606"/>
      <c r="N37" s="606"/>
      <c r="O37" s="607"/>
    </row>
    <row r="38" ht="37.5" customHeight="1">
      <c r="A38" s="548">
        <v>33.0</v>
      </c>
      <c r="B38" s="351">
        <f t="shared" si="1"/>
        <v>45446.42684</v>
      </c>
      <c r="C38" s="592"/>
      <c r="D38" s="495" t="s">
        <v>319</v>
      </c>
      <c r="E38" s="591" t="s">
        <v>58</v>
      </c>
      <c r="F38" s="588" t="s">
        <v>775</v>
      </c>
      <c r="G38" s="565" t="s">
        <v>817</v>
      </c>
      <c r="H38" s="584" t="s">
        <v>818</v>
      </c>
      <c r="I38" s="613" t="s">
        <v>819</v>
      </c>
      <c r="J38" s="37" t="s">
        <v>774</v>
      </c>
      <c r="K38" s="556"/>
      <c r="L38" s="568"/>
      <c r="M38" s="606"/>
      <c r="N38" s="606"/>
      <c r="O38" s="607"/>
    </row>
    <row r="39" ht="37.5" customHeight="1">
      <c r="A39" s="560">
        <v>34.0</v>
      </c>
      <c r="B39" s="351" t="str">
        <f t="shared" si="1"/>
        <v/>
      </c>
      <c r="C39" s="592"/>
      <c r="D39" s="510"/>
      <c r="E39" s="594"/>
      <c r="F39" s="589"/>
      <c r="G39" s="553"/>
      <c r="H39" s="590"/>
      <c r="I39" s="611"/>
      <c r="J39" s="37" t="s">
        <v>774</v>
      </c>
      <c r="K39" s="556"/>
      <c r="L39" s="568"/>
      <c r="M39" s="606"/>
      <c r="N39" s="606"/>
      <c r="O39" s="607"/>
    </row>
    <row r="40" ht="37.5" customHeight="1">
      <c r="A40" s="548">
        <v>35.0</v>
      </c>
      <c r="B40" s="351" t="str">
        <f t="shared" si="1"/>
        <v/>
      </c>
      <c r="C40" s="592"/>
      <c r="D40" s="510"/>
      <c r="E40" s="594"/>
      <c r="F40" s="589"/>
      <c r="G40" s="553"/>
      <c r="H40" s="590"/>
      <c r="I40" s="611"/>
      <c r="J40" s="37" t="s">
        <v>774</v>
      </c>
      <c r="K40" s="556"/>
      <c r="L40" s="568"/>
      <c r="M40" s="606"/>
      <c r="N40" s="606"/>
      <c r="O40" s="607"/>
    </row>
    <row r="41" ht="37.5" customHeight="1">
      <c r="A41" s="560">
        <v>36.0</v>
      </c>
      <c r="B41" s="351" t="str">
        <f t="shared" si="1"/>
        <v/>
      </c>
      <c r="C41" s="592"/>
      <c r="D41" s="510"/>
      <c r="E41" s="594"/>
      <c r="F41" s="589"/>
      <c r="G41" s="553"/>
      <c r="H41" s="590"/>
      <c r="I41" s="611"/>
      <c r="J41" s="37" t="s">
        <v>774</v>
      </c>
      <c r="K41" s="556"/>
      <c r="L41" s="568"/>
      <c r="M41" s="606"/>
      <c r="N41" s="606"/>
      <c r="O41" s="607"/>
    </row>
    <row r="42" ht="37.5" customHeight="1">
      <c r="A42" s="548">
        <v>37.0</v>
      </c>
      <c r="B42" s="351" t="str">
        <f t="shared" si="1"/>
        <v/>
      </c>
      <c r="C42" s="592"/>
      <c r="D42" s="510"/>
      <c r="E42" s="594"/>
      <c r="F42" s="589"/>
      <c r="G42" s="553"/>
      <c r="H42" s="590"/>
      <c r="I42" s="611"/>
      <c r="J42" s="37" t="s">
        <v>774</v>
      </c>
      <c r="K42" s="556"/>
      <c r="L42" s="568"/>
      <c r="M42" s="606"/>
      <c r="N42" s="606"/>
      <c r="O42" s="607"/>
    </row>
    <row r="43" ht="37.5" customHeight="1">
      <c r="A43" s="560">
        <v>38.0</v>
      </c>
      <c r="B43" s="351" t="str">
        <f t="shared" si="1"/>
        <v/>
      </c>
      <c r="C43" s="592"/>
      <c r="D43" s="510"/>
      <c r="E43" s="609"/>
      <c r="F43" s="589"/>
      <c r="G43" s="553"/>
      <c r="H43" s="590"/>
      <c r="I43" s="611"/>
      <c r="J43" s="37" t="s">
        <v>774</v>
      </c>
      <c r="K43" s="556"/>
      <c r="L43" s="568"/>
      <c r="M43" s="606"/>
      <c r="N43" s="606"/>
      <c r="O43" s="607"/>
    </row>
    <row r="44" ht="37.5" customHeight="1">
      <c r="A44" s="548">
        <v>39.0</v>
      </c>
      <c r="B44" s="351" t="str">
        <f t="shared" si="1"/>
        <v/>
      </c>
      <c r="C44" s="592"/>
      <c r="D44" s="510"/>
      <c r="E44" s="609"/>
      <c r="F44" s="589"/>
      <c r="G44" s="553"/>
      <c r="H44" s="590"/>
      <c r="I44" s="614"/>
      <c r="J44" s="37" t="s">
        <v>774</v>
      </c>
      <c r="K44" s="556"/>
      <c r="L44" s="568"/>
      <c r="M44" s="606"/>
      <c r="N44" s="606"/>
      <c r="O44" s="607"/>
    </row>
    <row r="45" ht="37.5" customHeight="1">
      <c r="A45" s="560">
        <v>40.0</v>
      </c>
      <c r="B45" s="351" t="str">
        <f t="shared" si="1"/>
        <v/>
      </c>
      <c r="C45" s="592"/>
      <c r="D45" s="510"/>
      <c r="E45" s="609"/>
      <c r="F45" s="589"/>
      <c r="G45" s="553"/>
      <c r="H45" s="590"/>
      <c r="I45" s="614"/>
      <c r="J45" s="37" t="s">
        <v>774</v>
      </c>
      <c r="K45" s="568"/>
      <c r="L45" s="568"/>
      <c r="M45" s="606"/>
      <c r="N45" s="606"/>
      <c r="O45" s="607"/>
    </row>
    <row r="46" ht="15.75" customHeight="1">
      <c r="A46" s="548">
        <v>41.0</v>
      </c>
      <c r="B46" s="351" t="str">
        <f t="shared" si="1"/>
        <v/>
      </c>
      <c r="C46" s="604"/>
      <c r="D46" s="510"/>
      <c r="E46" s="609"/>
      <c r="F46" s="589"/>
      <c r="G46" s="553"/>
      <c r="H46" s="590"/>
      <c r="I46" s="611"/>
      <c r="J46" s="37" t="s">
        <v>774</v>
      </c>
      <c r="K46" s="568"/>
      <c r="L46" s="568"/>
      <c r="M46" s="606"/>
      <c r="N46" s="606"/>
      <c r="O46" s="607"/>
    </row>
    <row r="47" ht="15.75" customHeight="1">
      <c r="A47" s="560">
        <v>42.0</v>
      </c>
      <c r="B47" s="351" t="str">
        <f t="shared" si="1"/>
        <v/>
      </c>
      <c r="C47" s="604"/>
      <c r="D47" s="510"/>
      <c r="E47" s="609"/>
      <c r="F47" s="589"/>
      <c r="G47" s="553"/>
      <c r="H47" s="590"/>
      <c r="I47" s="611"/>
      <c r="J47" s="37" t="s">
        <v>774</v>
      </c>
      <c r="K47" s="568"/>
      <c r="L47" s="568"/>
      <c r="M47" s="518"/>
      <c r="N47" s="518"/>
      <c r="O47" s="519"/>
    </row>
    <row r="48" ht="15.75" customHeight="1">
      <c r="A48" s="548">
        <v>43.0</v>
      </c>
      <c r="B48" s="351" t="str">
        <f t="shared" si="1"/>
        <v/>
      </c>
      <c r="C48" s="592"/>
      <c r="D48" s="515"/>
      <c r="E48" s="609"/>
      <c r="F48" s="589"/>
      <c r="G48" s="553"/>
      <c r="H48" s="590"/>
      <c r="I48" s="611"/>
      <c r="J48" s="37" t="s">
        <v>774</v>
      </c>
      <c r="K48" s="568"/>
      <c r="L48" s="568"/>
      <c r="M48" s="518"/>
      <c r="N48" s="518"/>
      <c r="O48" s="519"/>
    </row>
    <row r="49" ht="15.75" customHeight="1">
      <c r="A49" s="560">
        <v>44.0</v>
      </c>
      <c r="B49" s="351" t="str">
        <f t="shared" si="1"/>
        <v/>
      </c>
      <c r="C49" s="592"/>
      <c r="D49" s="515"/>
      <c r="E49" s="609"/>
      <c r="F49" s="589"/>
      <c r="G49" s="553"/>
      <c r="H49" s="590"/>
      <c r="I49" s="611"/>
      <c r="J49" s="37" t="s">
        <v>774</v>
      </c>
      <c r="K49" s="568"/>
      <c r="L49" s="568"/>
      <c r="M49" s="518"/>
      <c r="N49" s="518"/>
      <c r="O49" s="519"/>
    </row>
    <row r="50" ht="15.75" customHeight="1">
      <c r="A50" s="548">
        <v>45.0</v>
      </c>
      <c r="B50" s="351" t="str">
        <f t="shared" si="1"/>
        <v/>
      </c>
      <c r="C50" s="592"/>
      <c r="D50" s="515"/>
      <c r="E50" s="609"/>
      <c r="F50" s="589"/>
      <c r="G50" s="553"/>
      <c r="H50" s="590"/>
      <c r="I50" s="611"/>
      <c r="J50" s="37" t="s">
        <v>774</v>
      </c>
      <c r="K50" s="568"/>
      <c r="L50" s="568"/>
      <c r="M50" s="518"/>
      <c r="N50" s="518"/>
      <c r="O50" s="519"/>
    </row>
    <row r="51" ht="15.75" customHeight="1">
      <c r="A51" s="560">
        <v>46.0</v>
      </c>
      <c r="B51" s="351" t="str">
        <f t="shared" si="1"/>
        <v/>
      </c>
      <c r="C51" s="592"/>
      <c r="D51" s="515"/>
      <c r="E51" s="609"/>
      <c r="F51" s="589"/>
      <c r="G51" s="553"/>
      <c r="H51" s="590"/>
      <c r="I51" s="614"/>
      <c r="J51" s="37" t="s">
        <v>774</v>
      </c>
      <c r="K51" s="568"/>
      <c r="L51" s="568"/>
      <c r="M51" s="518"/>
      <c r="N51" s="518"/>
      <c r="O51" s="519"/>
    </row>
    <row r="52" ht="15.75" customHeight="1">
      <c r="A52" s="548">
        <v>47.0</v>
      </c>
      <c r="B52" s="351" t="str">
        <f t="shared" si="1"/>
        <v/>
      </c>
      <c r="C52" s="592"/>
      <c r="D52" s="510"/>
      <c r="E52" s="609"/>
      <c r="F52" s="589"/>
      <c r="G52" s="553"/>
      <c r="H52" s="590"/>
      <c r="I52" s="611"/>
      <c r="J52" s="37" t="s">
        <v>774</v>
      </c>
      <c r="K52" s="568"/>
      <c r="L52" s="568"/>
      <c r="M52" s="518"/>
      <c r="N52" s="518"/>
      <c r="O52" s="519"/>
    </row>
    <row r="53" ht="15.75" customHeight="1">
      <c r="A53" s="560">
        <v>48.0</v>
      </c>
      <c r="B53" s="351" t="str">
        <f t="shared" si="1"/>
        <v/>
      </c>
      <c r="C53" s="604"/>
      <c r="D53" s="615"/>
      <c r="E53" s="609"/>
      <c r="F53" s="512"/>
      <c r="G53" s="553"/>
      <c r="H53" s="616"/>
      <c r="I53" s="611"/>
      <c r="J53" s="37" t="s">
        <v>774</v>
      </c>
      <c r="K53" s="568"/>
      <c r="L53" s="568"/>
      <c r="M53" s="518"/>
      <c r="N53" s="518"/>
      <c r="O53" s="519"/>
    </row>
    <row r="54" ht="15.75" customHeight="1">
      <c r="A54" s="548">
        <v>49.0</v>
      </c>
      <c r="B54" s="351" t="str">
        <f t="shared" si="1"/>
        <v/>
      </c>
      <c r="C54" s="604"/>
      <c r="D54" s="615"/>
      <c r="E54" s="609"/>
      <c r="F54" s="512"/>
      <c r="G54" s="553"/>
      <c r="H54" s="616"/>
      <c r="I54" s="611"/>
      <c r="J54" s="37" t="s">
        <v>774</v>
      </c>
      <c r="K54" s="568"/>
      <c r="L54" s="568"/>
      <c r="M54" s="518"/>
      <c r="N54" s="518"/>
      <c r="O54" s="519"/>
    </row>
    <row r="55" ht="15.75" customHeight="1">
      <c r="A55" s="560">
        <v>50.0</v>
      </c>
      <c r="B55" s="351" t="str">
        <f t="shared" si="1"/>
        <v/>
      </c>
      <c r="C55" s="604"/>
      <c r="D55" s="615"/>
      <c r="E55" s="609"/>
      <c r="F55" s="512"/>
      <c r="G55" s="553"/>
      <c r="H55" s="616"/>
      <c r="I55" s="611"/>
      <c r="J55" s="37" t="s">
        <v>774</v>
      </c>
      <c r="K55" s="568"/>
      <c r="L55" s="568"/>
      <c r="M55" s="518"/>
      <c r="N55" s="518"/>
      <c r="O55" s="519"/>
    </row>
    <row r="56" ht="15.75" customHeight="1">
      <c r="A56" s="548">
        <v>51.0</v>
      </c>
      <c r="B56" s="351" t="str">
        <f t="shared" si="1"/>
        <v/>
      </c>
      <c r="C56" s="604"/>
      <c r="D56" s="615"/>
      <c r="E56" s="609"/>
      <c r="F56" s="512"/>
      <c r="G56" s="553"/>
      <c r="H56" s="616"/>
      <c r="I56" s="611"/>
      <c r="J56" s="37" t="s">
        <v>774</v>
      </c>
      <c r="K56" s="568"/>
      <c r="L56" s="568"/>
      <c r="M56" s="518"/>
      <c r="N56" s="518"/>
      <c r="O56" s="519"/>
    </row>
    <row r="57" ht="15.75" customHeight="1">
      <c r="A57" s="560">
        <v>52.0</v>
      </c>
      <c r="B57" s="351" t="str">
        <f t="shared" si="1"/>
        <v/>
      </c>
      <c r="C57" s="604"/>
      <c r="D57" s="615"/>
      <c r="E57" s="609"/>
      <c r="F57" s="512"/>
      <c r="G57" s="553"/>
      <c r="H57" s="616"/>
      <c r="I57" s="611"/>
      <c r="J57" s="37" t="s">
        <v>774</v>
      </c>
      <c r="K57" s="568"/>
      <c r="L57" s="568"/>
      <c r="M57" s="518"/>
      <c r="N57" s="518"/>
      <c r="O57" s="519"/>
    </row>
    <row r="58" ht="15.75" customHeight="1">
      <c r="A58" s="548">
        <v>53.0</v>
      </c>
      <c r="B58" s="351" t="str">
        <f t="shared" si="1"/>
        <v/>
      </c>
      <c r="C58" s="604"/>
      <c r="D58" s="615"/>
      <c r="E58" s="609"/>
      <c r="F58" s="512"/>
      <c r="G58" s="553"/>
      <c r="H58" s="616"/>
      <c r="I58" s="611"/>
      <c r="J58" s="37" t="s">
        <v>774</v>
      </c>
      <c r="K58" s="568"/>
      <c r="L58" s="568"/>
      <c r="M58" s="518"/>
      <c r="N58" s="518"/>
      <c r="O58" s="519"/>
    </row>
    <row r="59" ht="15.75" customHeight="1">
      <c r="A59" s="560">
        <v>54.0</v>
      </c>
      <c r="B59" s="351" t="str">
        <f t="shared" si="1"/>
        <v/>
      </c>
      <c r="C59" s="604"/>
      <c r="D59" s="615"/>
      <c r="E59" s="609"/>
      <c r="F59" s="512"/>
      <c r="G59" s="553"/>
      <c r="H59" s="616"/>
      <c r="I59" s="611"/>
      <c r="J59" s="37" t="s">
        <v>774</v>
      </c>
      <c r="K59" s="568"/>
      <c r="L59" s="568"/>
      <c r="M59" s="518"/>
      <c r="N59" s="518"/>
      <c r="O59" s="519"/>
    </row>
    <row r="60" ht="15.75" customHeight="1">
      <c r="A60" s="548">
        <v>55.0</v>
      </c>
      <c r="B60" s="351" t="str">
        <f t="shared" si="1"/>
        <v/>
      </c>
      <c r="C60" s="604"/>
      <c r="D60" s="615"/>
      <c r="E60" s="609"/>
      <c r="F60" s="512"/>
      <c r="G60" s="553"/>
      <c r="H60" s="616"/>
      <c r="I60" s="611"/>
      <c r="J60" s="37" t="s">
        <v>774</v>
      </c>
      <c r="K60" s="568"/>
      <c r="L60" s="568"/>
      <c r="M60" s="518"/>
      <c r="N60" s="518"/>
      <c r="O60" s="519"/>
    </row>
    <row r="61" ht="15.75" customHeight="1">
      <c r="A61" s="560">
        <v>56.0</v>
      </c>
      <c r="B61" s="351" t="str">
        <f t="shared" si="1"/>
        <v/>
      </c>
      <c r="C61" s="604"/>
      <c r="D61" s="615"/>
      <c r="E61" s="609"/>
      <c r="F61" s="512"/>
      <c r="G61" s="553"/>
      <c r="H61" s="616"/>
      <c r="I61" s="611"/>
      <c r="J61" s="37" t="s">
        <v>774</v>
      </c>
      <c r="K61" s="568"/>
      <c r="L61" s="568"/>
      <c r="M61" s="518"/>
      <c r="N61" s="518"/>
      <c r="O61" s="519"/>
    </row>
    <row r="62" ht="15.75" customHeight="1">
      <c r="A62" s="548">
        <v>57.0</v>
      </c>
      <c r="B62" s="351" t="str">
        <f t="shared" si="1"/>
        <v/>
      </c>
      <c r="C62" s="617"/>
      <c r="D62" s="618"/>
      <c r="E62" s="619"/>
      <c r="F62" s="533"/>
      <c r="G62" s="620"/>
      <c r="H62" s="621"/>
      <c r="I62" s="622"/>
      <c r="J62" s="37" t="s">
        <v>774</v>
      </c>
      <c r="K62" s="623"/>
      <c r="L62" s="624"/>
      <c r="M62" s="535"/>
      <c r="N62" s="535"/>
      <c r="O62" s="536"/>
    </row>
    <row r="63" ht="15.75" customHeight="1">
      <c r="D63" s="206"/>
      <c r="E63" s="337"/>
      <c r="F63" s="538"/>
      <c r="G63" s="538"/>
      <c r="H63" s="539"/>
      <c r="I63" s="543"/>
      <c r="K63" s="458"/>
      <c r="L63" s="458"/>
    </row>
    <row r="64" ht="15.75" customHeight="1">
      <c r="D64" s="206"/>
      <c r="E64" s="337"/>
      <c r="F64" s="538"/>
      <c r="G64" s="538"/>
      <c r="H64" s="539"/>
      <c r="I64" s="543"/>
      <c r="K64" s="458"/>
      <c r="L64" s="458"/>
    </row>
    <row r="65" ht="15.75" customHeight="1">
      <c r="D65" s="206"/>
      <c r="E65" s="337"/>
      <c r="F65" s="538"/>
      <c r="G65" s="538"/>
      <c r="H65" s="539"/>
      <c r="I65" s="543"/>
      <c r="K65" s="458"/>
      <c r="L65" s="458"/>
    </row>
    <row r="66" ht="15.75" customHeight="1">
      <c r="D66" s="206"/>
      <c r="E66" s="337"/>
      <c r="F66" s="538"/>
      <c r="G66" s="538"/>
      <c r="H66" s="539"/>
      <c r="I66" s="543"/>
      <c r="K66" s="458"/>
      <c r="L66" s="458"/>
    </row>
    <row r="67" ht="15.75" customHeight="1">
      <c r="D67" s="206"/>
      <c r="E67" s="337"/>
      <c r="F67" s="538"/>
      <c r="G67" s="538"/>
      <c r="H67" s="539"/>
      <c r="I67" s="543"/>
      <c r="K67" s="458"/>
      <c r="L67" s="458"/>
    </row>
    <row r="68" ht="15.75" customHeight="1">
      <c r="D68" s="206"/>
      <c r="E68" s="337"/>
      <c r="F68" s="538"/>
      <c r="G68" s="538"/>
      <c r="H68" s="539"/>
      <c r="I68" s="543"/>
      <c r="K68" s="458"/>
      <c r="L68" s="458"/>
    </row>
    <row r="69" ht="15.75" customHeight="1">
      <c r="D69" s="206"/>
      <c r="E69" s="337"/>
      <c r="F69" s="538"/>
      <c r="G69" s="538"/>
      <c r="H69" s="539"/>
      <c r="I69" s="543"/>
      <c r="K69" s="458"/>
      <c r="L69" s="458"/>
    </row>
    <row r="70" ht="15.75" customHeight="1">
      <c r="D70" s="206"/>
      <c r="E70" s="337"/>
      <c r="F70" s="538"/>
      <c r="G70" s="538"/>
      <c r="H70" s="539"/>
      <c r="I70" s="543"/>
      <c r="K70" s="458"/>
      <c r="L70" s="458"/>
    </row>
    <row r="71" ht="15.75" customHeight="1">
      <c r="D71" s="206"/>
      <c r="E71" s="337"/>
      <c r="F71" s="538"/>
      <c r="G71" s="538"/>
      <c r="H71" s="539"/>
      <c r="I71" s="543"/>
      <c r="K71" s="458"/>
      <c r="L71" s="458"/>
    </row>
    <row r="72" ht="15.75" customHeight="1">
      <c r="D72" s="206"/>
      <c r="E72" s="337"/>
      <c r="F72" s="538"/>
      <c r="G72" s="538"/>
      <c r="H72" s="539"/>
      <c r="I72" s="543"/>
      <c r="K72" s="458"/>
      <c r="L72" s="458"/>
    </row>
    <row r="73" ht="15.75" customHeight="1">
      <c r="D73" s="206"/>
      <c r="E73" s="337"/>
      <c r="F73" s="538"/>
      <c r="G73" s="538"/>
      <c r="H73" s="539"/>
      <c r="I73" s="543"/>
      <c r="K73" s="458"/>
      <c r="L73" s="458"/>
    </row>
    <row r="74" ht="15.75" customHeight="1">
      <c r="D74" s="206"/>
      <c r="E74" s="337"/>
      <c r="F74" s="538"/>
      <c r="G74" s="538"/>
      <c r="H74" s="539"/>
      <c r="I74" s="543"/>
      <c r="K74" s="458"/>
      <c r="L74" s="458"/>
    </row>
    <row r="75" ht="15.75" customHeight="1">
      <c r="D75" s="206"/>
      <c r="E75" s="337"/>
      <c r="F75" s="538"/>
      <c r="G75" s="538"/>
      <c r="H75" s="539"/>
      <c r="I75" s="543"/>
      <c r="K75" s="458"/>
      <c r="L75" s="458"/>
    </row>
    <row r="76" ht="15.75" customHeight="1">
      <c r="D76" s="206"/>
      <c r="E76" s="337"/>
      <c r="F76" s="538"/>
      <c r="G76" s="538"/>
      <c r="H76" s="539"/>
      <c r="I76" s="543"/>
      <c r="K76" s="458"/>
      <c r="L76" s="458"/>
    </row>
    <row r="77" ht="15.75" customHeight="1">
      <c r="D77" s="206"/>
      <c r="E77" s="337"/>
      <c r="F77" s="538"/>
      <c r="G77" s="538"/>
      <c r="H77" s="539"/>
      <c r="I77" s="543"/>
      <c r="K77" s="458"/>
      <c r="L77" s="458"/>
    </row>
    <row r="78" ht="15.75" customHeight="1">
      <c r="D78" s="206"/>
      <c r="E78" s="337"/>
      <c r="F78" s="538"/>
      <c r="G78" s="538"/>
      <c r="H78" s="539"/>
      <c r="I78" s="543"/>
      <c r="K78" s="458"/>
      <c r="L78" s="458"/>
    </row>
    <row r="79" ht="15.75" customHeight="1">
      <c r="D79" s="206"/>
      <c r="E79" s="337"/>
      <c r="F79" s="538"/>
      <c r="G79" s="538"/>
      <c r="H79" s="539"/>
      <c r="I79" s="543"/>
      <c r="K79" s="458"/>
      <c r="L79" s="458"/>
    </row>
    <row r="80" ht="15.75" customHeight="1">
      <c r="D80" s="206"/>
      <c r="E80" s="337"/>
      <c r="F80" s="538"/>
      <c r="G80" s="538"/>
      <c r="H80" s="539"/>
      <c r="I80" s="543"/>
      <c r="K80" s="458"/>
      <c r="L80" s="458"/>
    </row>
    <row r="81" ht="15.75" customHeight="1">
      <c r="D81" s="206"/>
      <c r="E81" s="337"/>
      <c r="F81" s="538"/>
      <c r="G81" s="538"/>
      <c r="H81" s="539"/>
      <c r="I81" s="543"/>
      <c r="K81" s="458"/>
      <c r="L81" s="458"/>
    </row>
    <row r="82" ht="15.75" customHeight="1">
      <c r="D82" s="206"/>
      <c r="E82" s="337"/>
      <c r="F82" s="538"/>
      <c r="G82" s="538"/>
      <c r="H82" s="539"/>
      <c r="I82" s="543"/>
      <c r="K82" s="458"/>
      <c r="L82" s="458"/>
    </row>
    <row r="83" ht="15.75" customHeight="1">
      <c r="D83" s="206"/>
      <c r="E83" s="337"/>
      <c r="F83" s="538"/>
      <c r="G83" s="538"/>
      <c r="H83" s="539"/>
      <c r="I83" s="543"/>
      <c r="K83" s="458"/>
      <c r="L83" s="458"/>
    </row>
    <row r="84" ht="15.75" customHeight="1">
      <c r="D84" s="206"/>
      <c r="E84" s="337"/>
      <c r="F84" s="538"/>
      <c r="G84" s="538"/>
      <c r="H84" s="539"/>
      <c r="I84" s="543"/>
      <c r="K84" s="458"/>
      <c r="L84" s="458"/>
    </row>
    <row r="85" ht="15.75" customHeight="1">
      <c r="D85" s="206"/>
      <c r="E85" s="337"/>
      <c r="F85" s="538"/>
      <c r="G85" s="538"/>
      <c r="H85" s="539"/>
      <c r="I85" s="543"/>
      <c r="K85" s="458"/>
      <c r="L85" s="458"/>
    </row>
    <row r="86" ht="15.75" customHeight="1">
      <c r="D86" s="206"/>
      <c r="E86" s="337"/>
      <c r="F86" s="538"/>
      <c r="G86" s="538"/>
      <c r="H86" s="539"/>
      <c r="I86" s="543"/>
      <c r="K86" s="458"/>
      <c r="L86" s="458"/>
    </row>
    <row r="87" ht="15.75" customHeight="1">
      <c r="D87" s="206"/>
      <c r="E87" s="337"/>
      <c r="F87" s="538"/>
      <c r="G87" s="538"/>
      <c r="H87" s="539"/>
      <c r="I87" s="543"/>
      <c r="K87" s="458"/>
      <c r="L87" s="458"/>
    </row>
    <row r="88" ht="15.75" customHeight="1">
      <c r="D88" s="206"/>
      <c r="E88" s="337"/>
      <c r="F88" s="538"/>
      <c r="G88" s="538"/>
      <c r="H88" s="539"/>
      <c r="I88" s="543"/>
      <c r="K88" s="458"/>
      <c r="L88" s="458"/>
    </row>
    <row r="89" ht="15.75" customHeight="1">
      <c r="D89" s="206"/>
      <c r="E89" s="337"/>
      <c r="F89" s="538"/>
      <c r="G89" s="538"/>
      <c r="H89" s="539"/>
      <c r="I89" s="543"/>
      <c r="K89" s="458"/>
      <c r="L89" s="458"/>
    </row>
    <row r="90" ht="15.75" customHeight="1">
      <c r="D90" s="206"/>
      <c r="E90" s="337"/>
      <c r="F90" s="538"/>
      <c r="G90" s="538"/>
      <c r="H90" s="539"/>
      <c r="I90" s="543"/>
      <c r="K90" s="458"/>
      <c r="L90" s="458"/>
    </row>
    <row r="91" ht="15.75" customHeight="1">
      <c r="D91" s="206"/>
      <c r="E91" s="337"/>
      <c r="F91" s="538"/>
      <c r="G91" s="538"/>
      <c r="H91" s="539"/>
      <c r="I91" s="543"/>
      <c r="K91" s="458"/>
      <c r="L91" s="458"/>
    </row>
    <row r="92" ht="15.75" customHeight="1">
      <c r="D92" s="206"/>
      <c r="E92" s="337"/>
      <c r="F92" s="538"/>
      <c r="G92" s="538"/>
      <c r="H92" s="539"/>
      <c r="I92" s="543"/>
      <c r="K92" s="458"/>
      <c r="L92" s="458"/>
    </row>
    <row r="93" ht="15.75" customHeight="1">
      <c r="D93" s="206"/>
      <c r="E93" s="337"/>
      <c r="F93" s="538"/>
      <c r="G93" s="538"/>
      <c r="H93" s="539"/>
      <c r="I93" s="543"/>
      <c r="K93" s="458"/>
      <c r="L93" s="458"/>
    </row>
    <row r="94" ht="15.75" customHeight="1">
      <c r="D94" s="206"/>
      <c r="E94" s="337"/>
      <c r="F94" s="538"/>
      <c r="G94" s="538"/>
      <c r="H94" s="539"/>
      <c r="I94" s="543"/>
      <c r="K94" s="458"/>
      <c r="L94" s="458"/>
    </row>
    <row r="95" ht="15.75" customHeight="1">
      <c r="D95" s="206"/>
      <c r="E95" s="337"/>
      <c r="F95" s="538"/>
      <c r="G95" s="538"/>
      <c r="H95" s="539"/>
      <c r="I95" s="543"/>
      <c r="K95" s="458"/>
      <c r="L95" s="458"/>
    </row>
    <row r="96" ht="15.75" customHeight="1">
      <c r="D96" s="206"/>
      <c r="E96" s="337"/>
      <c r="F96" s="538"/>
      <c r="G96" s="538"/>
      <c r="H96" s="539"/>
      <c r="I96" s="543"/>
      <c r="K96" s="458"/>
      <c r="L96" s="458"/>
    </row>
    <row r="97" ht="15.75" customHeight="1">
      <c r="D97" s="206"/>
      <c r="E97" s="337"/>
      <c r="F97" s="538"/>
      <c r="G97" s="538"/>
      <c r="H97" s="539"/>
      <c r="I97" s="543"/>
      <c r="K97" s="458"/>
      <c r="L97" s="458"/>
    </row>
    <row r="98" ht="15.75" customHeight="1">
      <c r="D98" s="206"/>
      <c r="E98" s="337"/>
      <c r="F98" s="538"/>
      <c r="G98" s="538"/>
      <c r="H98" s="539"/>
      <c r="I98" s="543"/>
      <c r="K98" s="458"/>
      <c r="L98" s="458"/>
    </row>
    <row r="99" ht="15.75" customHeight="1">
      <c r="D99" s="206"/>
      <c r="E99" s="337"/>
      <c r="F99" s="538"/>
      <c r="G99" s="538"/>
      <c r="H99" s="539"/>
      <c r="I99" s="543"/>
      <c r="K99" s="458"/>
      <c r="L99" s="458"/>
    </row>
    <row r="100" ht="15.75" customHeight="1">
      <c r="D100" s="206"/>
      <c r="E100" s="337"/>
      <c r="F100" s="538"/>
      <c r="G100" s="538"/>
      <c r="H100" s="539"/>
      <c r="I100" s="543"/>
      <c r="K100" s="458"/>
      <c r="L100" s="458"/>
    </row>
    <row r="101" ht="15.75" customHeight="1">
      <c r="D101" s="206"/>
      <c r="E101" s="337"/>
      <c r="F101" s="538"/>
      <c r="G101" s="538"/>
      <c r="H101" s="539"/>
      <c r="I101" s="543"/>
      <c r="K101" s="458"/>
      <c r="L101" s="458"/>
    </row>
    <row r="102" ht="15.75" customHeight="1">
      <c r="D102" s="206"/>
      <c r="E102" s="337"/>
      <c r="F102" s="538"/>
      <c r="G102" s="538"/>
      <c r="H102" s="539"/>
      <c r="I102" s="543"/>
      <c r="K102" s="458"/>
      <c r="L102" s="458"/>
    </row>
    <row r="103" ht="15.75" customHeight="1">
      <c r="D103" s="206"/>
      <c r="E103" s="337"/>
      <c r="F103" s="538"/>
      <c r="G103" s="538"/>
      <c r="H103" s="539"/>
      <c r="I103" s="543"/>
      <c r="K103" s="458"/>
      <c r="L103" s="458"/>
    </row>
    <row r="104" ht="15.75" customHeight="1">
      <c r="D104" s="206"/>
      <c r="E104" s="337"/>
      <c r="F104" s="538"/>
      <c r="G104" s="538"/>
      <c r="H104" s="539"/>
      <c r="I104" s="543"/>
      <c r="K104" s="458"/>
      <c r="L104" s="458"/>
    </row>
    <row r="105" ht="15.75" customHeight="1">
      <c r="D105" s="206"/>
      <c r="E105" s="337"/>
      <c r="F105" s="538"/>
      <c r="G105" s="538"/>
      <c r="H105" s="539"/>
      <c r="I105" s="543"/>
      <c r="K105" s="458"/>
      <c r="L105" s="458"/>
    </row>
    <row r="106" ht="15.75" customHeight="1">
      <c r="D106" s="206"/>
      <c r="E106" s="337"/>
      <c r="F106" s="538"/>
      <c r="G106" s="538"/>
      <c r="H106" s="539"/>
      <c r="I106" s="543"/>
      <c r="K106" s="458"/>
      <c r="L106" s="458"/>
    </row>
    <row r="107" ht="15.75" customHeight="1">
      <c r="D107" s="206"/>
      <c r="E107" s="337"/>
      <c r="F107" s="538"/>
      <c r="G107" s="538"/>
      <c r="H107" s="539"/>
      <c r="I107" s="543"/>
      <c r="K107" s="458"/>
      <c r="L107" s="458"/>
    </row>
    <row r="108" ht="15.75" customHeight="1">
      <c r="D108" s="206"/>
      <c r="E108" s="337"/>
      <c r="F108" s="538"/>
      <c r="G108" s="538"/>
      <c r="H108" s="539"/>
      <c r="I108" s="543"/>
      <c r="K108" s="458"/>
      <c r="L108" s="458"/>
    </row>
    <row r="109" ht="15.75" customHeight="1">
      <c r="D109" s="206"/>
      <c r="E109" s="337"/>
      <c r="F109" s="538"/>
      <c r="G109" s="538"/>
      <c r="H109" s="539"/>
      <c r="I109" s="543"/>
      <c r="K109" s="458"/>
      <c r="L109" s="458"/>
    </row>
    <row r="110" ht="15.75" customHeight="1">
      <c r="D110" s="206"/>
      <c r="E110" s="337"/>
      <c r="F110" s="538"/>
      <c r="G110" s="538"/>
      <c r="H110" s="539"/>
      <c r="I110" s="543"/>
      <c r="K110" s="458"/>
      <c r="L110" s="458"/>
    </row>
    <row r="111" ht="15.75" customHeight="1">
      <c r="D111" s="206"/>
      <c r="E111" s="337"/>
      <c r="F111" s="538"/>
      <c r="G111" s="538"/>
      <c r="H111" s="539"/>
      <c r="I111" s="543"/>
      <c r="K111" s="458"/>
      <c r="L111" s="458"/>
    </row>
    <row r="112" ht="15.75" customHeight="1">
      <c r="D112" s="206"/>
      <c r="E112" s="337"/>
      <c r="F112" s="538"/>
      <c r="G112" s="538"/>
      <c r="H112" s="539"/>
      <c r="I112" s="543"/>
      <c r="K112" s="458"/>
      <c r="L112" s="458"/>
    </row>
    <row r="113" ht="15.75" customHeight="1">
      <c r="D113" s="206"/>
      <c r="E113" s="337"/>
      <c r="F113" s="538"/>
      <c r="G113" s="538"/>
      <c r="H113" s="539"/>
      <c r="I113" s="543"/>
      <c r="K113" s="458"/>
      <c r="L113" s="458"/>
    </row>
    <row r="114" ht="15.75" customHeight="1">
      <c r="D114" s="206"/>
      <c r="E114" s="337"/>
      <c r="F114" s="538"/>
      <c r="G114" s="538"/>
      <c r="H114" s="539"/>
      <c r="I114" s="543"/>
      <c r="K114" s="458"/>
      <c r="L114" s="458"/>
    </row>
    <row r="115" ht="15.75" customHeight="1">
      <c r="D115" s="206"/>
      <c r="E115" s="337"/>
      <c r="F115" s="538"/>
      <c r="G115" s="538"/>
      <c r="H115" s="539"/>
      <c r="I115" s="543"/>
      <c r="K115" s="458"/>
      <c r="L115" s="458"/>
    </row>
    <row r="116" ht="15.75" customHeight="1">
      <c r="D116" s="206"/>
      <c r="E116" s="337"/>
      <c r="F116" s="538"/>
      <c r="G116" s="538"/>
      <c r="H116" s="539"/>
      <c r="I116" s="543"/>
      <c r="K116" s="458"/>
      <c r="L116" s="458"/>
    </row>
    <row r="117" ht="15.75" customHeight="1">
      <c r="D117" s="206"/>
      <c r="E117" s="337"/>
      <c r="F117" s="538"/>
      <c r="G117" s="538"/>
      <c r="H117" s="539"/>
      <c r="I117" s="543"/>
      <c r="K117" s="458"/>
      <c r="L117" s="458"/>
    </row>
    <row r="118" ht="15.75" customHeight="1">
      <c r="D118" s="206"/>
      <c r="E118" s="337"/>
      <c r="F118" s="538"/>
      <c r="G118" s="538"/>
      <c r="H118" s="539"/>
      <c r="I118" s="543"/>
      <c r="K118" s="458"/>
      <c r="L118" s="458"/>
    </row>
    <row r="119" ht="15.75" customHeight="1">
      <c r="D119" s="206"/>
      <c r="E119" s="337"/>
      <c r="F119" s="538"/>
      <c r="G119" s="538"/>
      <c r="H119" s="539"/>
      <c r="I119" s="543"/>
      <c r="K119" s="458"/>
      <c r="L119" s="458"/>
    </row>
    <row r="120" ht="15.75" customHeight="1">
      <c r="D120" s="206"/>
      <c r="E120" s="337"/>
      <c r="F120" s="538"/>
      <c r="G120" s="538"/>
      <c r="H120" s="539"/>
      <c r="I120" s="543"/>
      <c r="K120" s="458"/>
      <c r="L120" s="458"/>
    </row>
    <row r="121" ht="15.75" customHeight="1">
      <c r="D121" s="206"/>
      <c r="E121" s="337"/>
      <c r="F121" s="538"/>
      <c r="G121" s="538"/>
      <c r="H121" s="539"/>
      <c r="I121" s="543"/>
      <c r="K121" s="458"/>
      <c r="L121" s="458"/>
    </row>
    <row r="122" ht="15.75" customHeight="1">
      <c r="D122" s="206"/>
      <c r="E122" s="337"/>
      <c r="F122" s="538"/>
      <c r="G122" s="538"/>
      <c r="H122" s="539"/>
      <c r="I122" s="543"/>
      <c r="K122" s="458"/>
      <c r="L122" s="458"/>
    </row>
    <row r="123" ht="15.75" customHeight="1">
      <c r="D123" s="206"/>
      <c r="E123" s="337"/>
      <c r="F123" s="538"/>
      <c r="G123" s="538"/>
      <c r="H123" s="539"/>
      <c r="I123" s="543"/>
      <c r="K123" s="458"/>
      <c r="L123" s="458"/>
    </row>
    <row r="124" ht="15.75" customHeight="1">
      <c r="D124" s="206"/>
      <c r="E124" s="337"/>
      <c r="F124" s="538"/>
      <c r="G124" s="538"/>
      <c r="H124" s="539"/>
      <c r="I124" s="543"/>
      <c r="K124" s="458"/>
      <c r="L124" s="458"/>
    </row>
    <row r="125" ht="15.75" customHeight="1">
      <c r="D125" s="206"/>
      <c r="E125" s="337"/>
      <c r="F125" s="538"/>
      <c r="G125" s="538"/>
      <c r="H125" s="539"/>
      <c r="I125" s="543"/>
      <c r="K125" s="458"/>
      <c r="L125" s="458"/>
    </row>
    <row r="126" ht="15.75" customHeight="1">
      <c r="D126" s="206"/>
      <c r="E126" s="337"/>
      <c r="F126" s="538"/>
      <c r="G126" s="538"/>
      <c r="H126" s="539"/>
      <c r="I126" s="543"/>
      <c r="K126" s="458"/>
      <c r="L126" s="458"/>
    </row>
    <row r="127" ht="15.75" customHeight="1">
      <c r="D127" s="206"/>
      <c r="E127" s="337"/>
      <c r="F127" s="538"/>
      <c r="G127" s="538"/>
      <c r="H127" s="539"/>
      <c r="I127" s="543"/>
      <c r="K127" s="458"/>
      <c r="L127" s="458"/>
    </row>
    <row r="128" ht="15.75" customHeight="1">
      <c r="D128" s="206"/>
      <c r="E128" s="337"/>
      <c r="F128" s="538"/>
      <c r="G128" s="538"/>
      <c r="H128" s="539"/>
      <c r="I128" s="543"/>
      <c r="K128" s="458"/>
      <c r="L128" s="458"/>
    </row>
    <row r="129" ht="15.75" customHeight="1">
      <c r="D129" s="206"/>
      <c r="E129" s="337"/>
      <c r="F129" s="538"/>
      <c r="G129" s="538"/>
      <c r="H129" s="539"/>
      <c r="I129" s="543"/>
      <c r="K129" s="458"/>
      <c r="L129" s="458"/>
    </row>
    <row r="130" ht="15.75" customHeight="1">
      <c r="D130" s="206"/>
      <c r="E130" s="337"/>
      <c r="F130" s="538"/>
      <c r="G130" s="538"/>
      <c r="H130" s="539"/>
      <c r="I130" s="543"/>
      <c r="K130" s="458"/>
      <c r="L130" s="458"/>
    </row>
    <row r="131" ht="15.75" customHeight="1">
      <c r="D131" s="206"/>
      <c r="E131" s="337"/>
      <c r="F131" s="538"/>
      <c r="G131" s="538"/>
      <c r="H131" s="539"/>
      <c r="I131" s="543"/>
      <c r="K131" s="458"/>
      <c r="L131" s="458"/>
    </row>
    <row r="132" ht="15.75" customHeight="1">
      <c r="D132" s="206"/>
      <c r="E132" s="337"/>
      <c r="F132" s="538"/>
      <c r="G132" s="538"/>
      <c r="H132" s="539"/>
      <c r="I132" s="543"/>
      <c r="K132" s="458"/>
      <c r="L132" s="458"/>
    </row>
    <row r="133" ht="15.75" customHeight="1">
      <c r="D133" s="206"/>
      <c r="E133" s="337"/>
      <c r="F133" s="538"/>
      <c r="G133" s="538"/>
      <c r="H133" s="539"/>
      <c r="I133" s="543"/>
      <c r="K133" s="458"/>
      <c r="L133" s="458"/>
    </row>
    <row r="134" ht="15.75" customHeight="1">
      <c r="D134" s="206"/>
      <c r="E134" s="337"/>
      <c r="F134" s="538"/>
      <c r="G134" s="538"/>
      <c r="H134" s="539"/>
      <c r="I134" s="543"/>
      <c r="K134" s="458"/>
      <c r="L134" s="458"/>
    </row>
    <row r="135" ht="15.75" customHeight="1">
      <c r="D135" s="206"/>
      <c r="E135" s="337"/>
      <c r="F135" s="538"/>
      <c r="G135" s="538"/>
      <c r="H135" s="539"/>
      <c r="I135" s="543"/>
      <c r="K135" s="458"/>
      <c r="L135" s="458"/>
    </row>
    <row r="136" ht="15.75" customHeight="1">
      <c r="D136" s="206"/>
      <c r="E136" s="337"/>
      <c r="F136" s="538"/>
      <c r="G136" s="538"/>
      <c r="H136" s="539"/>
      <c r="I136" s="543"/>
      <c r="K136" s="458"/>
      <c r="L136" s="458"/>
    </row>
    <row r="137" ht="15.75" customHeight="1">
      <c r="D137" s="206"/>
      <c r="E137" s="337"/>
      <c r="F137" s="538"/>
      <c r="G137" s="538"/>
      <c r="H137" s="539"/>
      <c r="I137" s="543"/>
      <c r="K137" s="458"/>
      <c r="L137" s="458"/>
    </row>
    <row r="138" ht="15.75" customHeight="1">
      <c r="D138" s="206"/>
      <c r="E138" s="337"/>
      <c r="F138" s="538"/>
      <c r="G138" s="538"/>
      <c r="H138" s="539"/>
      <c r="I138" s="543"/>
      <c r="K138" s="458"/>
      <c r="L138" s="458"/>
    </row>
    <row r="139" ht="15.75" customHeight="1">
      <c r="D139" s="206"/>
      <c r="E139" s="337"/>
      <c r="F139" s="538"/>
      <c r="G139" s="538"/>
      <c r="H139" s="539"/>
      <c r="I139" s="543"/>
      <c r="K139" s="458"/>
      <c r="L139" s="458"/>
    </row>
    <row r="140" ht="15.75" customHeight="1">
      <c r="D140" s="206"/>
      <c r="E140" s="337"/>
      <c r="F140" s="538"/>
      <c r="G140" s="538"/>
      <c r="H140" s="539"/>
      <c r="I140" s="543"/>
      <c r="K140" s="458"/>
      <c r="L140" s="458"/>
    </row>
    <row r="141" ht="15.75" customHeight="1">
      <c r="D141" s="206"/>
      <c r="E141" s="337"/>
      <c r="F141" s="538"/>
      <c r="G141" s="538"/>
      <c r="H141" s="539"/>
      <c r="I141" s="543"/>
      <c r="K141" s="458"/>
      <c r="L141" s="458"/>
    </row>
    <row r="142" ht="15.75" customHeight="1">
      <c r="D142" s="206"/>
      <c r="E142" s="337"/>
      <c r="F142" s="538"/>
      <c r="G142" s="538"/>
      <c r="H142" s="539"/>
      <c r="I142" s="543"/>
      <c r="K142" s="458"/>
      <c r="L142" s="458"/>
    </row>
    <row r="143" ht="15.75" customHeight="1">
      <c r="D143" s="206"/>
      <c r="E143" s="337"/>
      <c r="F143" s="538"/>
      <c r="G143" s="538"/>
      <c r="H143" s="539"/>
      <c r="I143" s="543"/>
      <c r="K143" s="458"/>
      <c r="L143" s="458"/>
    </row>
    <row r="144" ht="15.75" customHeight="1">
      <c r="D144" s="206"/>
      <c r="E144" s="337"/>
      <c r="F144" s="538"/>
      <c r="G144" s="538"/>
      <c r="H144" s="539"/>
      <c r="I144" s="543"/>
      <c r="K144" s="458"/>
      <c r="L144" s="458"/>
    </row>
    <row r="145" ht="15.75" customHeight="1">
      <c r="D145" s="206"/>
      <c r="E145" s="337"/>
      <c r="F145" s="538"/>
      <c r="G145" s="538"/>
      <c r="H145" s="539"/>
      <c r="I145" s="543"/>
      <c r="K145" s="458"/>
      <c r="L145" s="458"/>
    </row>
    <row r="146" ht="15.75" customHeight="1">
      <c r="D146" s="206"/>
      <c r="E146" s="337"/>
      <c r="F146" s="538"/>
      <c r="G146" s="538"/>
      <c r="H146" s="539"/>
      <c r="I146" s="543"/>
      <c r="K146" s="458"/>
      <c r="L146" s="458"/>
    </row>
    <row r="147" ht="15.75" customHeight="1">
      <c r="D147" s="206"/>
      <c r="E147" s="337"/>
      <c r="F147" s="538"/>
      <c r="G147" s="538"/>
      <c r="H147" s="539"/>
      <c r="I147" s="543"/>
      <c r="K147" s="458"/>
      <c r="L147" s="458"/>
    </row>
    <row r="148" ht="15.75" customHeight="1">
      <c r="D148" s="206"/>
      <c r="E148" s="337"/>
      <c r="F148" s="538"/>
      <c r="G148" s="538"/>
      <c r="H148" s="539"/>
      <c r="I148" s="543"/>
      <c r="K148" s="458"/>
      <c r="L148" s="458"/>
    </row>
    <row r="149" ht="15.75" customHeight="1">
      <c r="D149" s="206"/>
      <c r="E149" s="337"/>
      <c r="F149" s="538"/>
      <c r="G149" s="538"/>
      <c r="H149" s="539"/>
      <c r="I149" s="543"/>
      <c r="K149" s="458"/>
      <c r="L149" s="458"/>
    </row>
    <row r="150" ht="15.75" customHeight="1">
      <c r="D150" s="206"/>
      <c r="E150" s="337"/>
      <c r="F150" s="538"/>
      <c r="G150" s="538"/>
      <c r="H150" s="539"/>
      <c r="I150" s="543"/>
      <c r="K150" s="458"/>
      <c r="L150" s="458"/>
    </row>
    <row r="151" ht="15.75" customHeight="1">
      <c r="D151" s="206"/>
      <c r="E151" s="337"/>
      <c r="F151" s="538"/>
      <c r="G151" s="538"/>
      <c r="H151" s="539"/>
      <c r="I151" s="543"/>
      <c r="K151" s="458"/>
      <c r="L151" s="458"/>
    </row>
    <row r="152" ht="15.75" customHeight="1">
      <c r="D152" s="206"/>
      <c r="E152" s="337"/>
      <c r="F152" s="538"/>
      <c r="G152" s="538"/>
      <c r="H152" s="539"/>
      <c r="I152" s="543"/>
      <c r="K152" s="458"/>
      <c r="L152" s="458"/>
    </row>
    <row r="153" ht="15.75" customHeight="1">
      <c r="D153" s="206"/>
      <c r="E153" s="337"/>
      <c r="F153" s="538"/>
      <c r="G153" s="538"/>
      <c r="H153" s="539"/>
      <c r="I153" s="543"/>
      <c r="K153" s="458"/>
      <c r="L153" s="458"/>
    </row>
    <row r="154" ht="15.75" customHeight="1">
      <c r="D154" s="206"/>
      <c r="E154" s="337"/>
      <c r="F154" s="538"/>
      <c r="G154" s="538"/>
      <c r="H154" s="539"/>
      <c r="I154" s="543"/>
      <c r="K154" s="458"/>
      <c r="L154" s="458"/>
    </row>
    <row r="155" ht="15.75" customHeight="1">
      <c r="D155" s="206"/>
      <c r="E155" s="337"/>
      <c r="F155" s="538"/>
      <c r="G155" s="538"/>
      <c r="H155" s="539"/>
      <c r="I155" s="543"/>
      <c r="K155" s="458"/>
      <c r="L155" s="458"/>
    </row>
    <row r="156" ht="15.75" customHeight="1">
      <c r="D156" s="206"/>
      <c r="E156" s="337"/>
      <c r="F156" s="538"/>
      <c r="G156" s="538"/>
      <c r="H156" s="539"/>
      <c r="I156" s="543"/>
      <c r="K156" s="458"/>
      <c r="L156" s="458"/>
    </row>
    <row r="157" ht="15.75" customHeight="1">
      <c r="D157" s="206"/>
      <c r="E157" s="337"/>
      <c r="F157" s="538"/>
      <c r="G157" s="538"/>
      <c r="H157" s="539"/>
      <c r="I157" s="543"/>
      <c r="K157" s="458"/>
      <c r="L157" s="458"/>
    </row>
    <row r="158" ht="15.75" customHeight="1">
      <c r="D158" s="206"/>
      <c r="E158" s="337"/>
      <c r="F158" s="538"/>
      <c r="G158" s="538"/>
      <c r="H158" s="539"/>
      <c r="I158" s="543"/>
      <c r="K158" s="458"/>
      <c r="L158" s="458"/>
    </row>
    <row r="159" ht="15.75" customHeight="1">
      <c r="D159" s="206"/>
      <c r="E159" s="337"/>
      <c r="F159" s="538"/>
      <c r="G159" s="538"/>
      <c r="H159" s="539"/>
      <c r="I159" s="543"/>
      <c r="K159" s="458"/>
      <c r="L159" s="458"/>
    </row>
    <row r="160" ht="15.75" customHeight="1">
      <c r="D160" s="206"/>
      <c r="E160" s="337"/>
      <c r="F160" s="538"/>
      <c r="G160" s="538"/>
      <c r="H160" s="539"/>
      <c r="I160" s="543"/>
      <c r="K160" s="458"/>
      <c r="L160" s="458"/>
    </row>
    <row r="161" ht="15.75" customHeight="1">
      <c r="D161" s="206"/>
      <c r="E161" s="337"/>
      <c r="F161" s="538"/>
      <c r="G161" s="538"/>
      <c r="H161" s="539"/>
      <c r="I161" s="543"/>
      <c r="K161" s="458"/>
      <c r="L161" s="458"/>
    </row>
    <row r="162" ht="15.75" customHeight="1">
      <c r="D162" s="206"/>
      <c r="E162" s="337"/>
      <c r="F162" s="538"/>
      <c r="G162" s="538"/>
      <c r="H162" s="539"/>
      <c r="I162" s="543"/>
      <c r="K162" s="458"/>
      <c r="L162" s="458"/>
    </row>
    <row r="163" ht="15.75" customHeight="1">
      <c r="D163" s="206"/>
      <c r="E163" s="337"/>
      <c r="F163" s="538"/>
      <c r="G163" s="538"/>
      <c r="H163" s="539"/>
      <c r="I163" s="543"/>
      <c r="K163" s="458"/>
      <c r="L163" s="458"/>
    </row>
    <row r="164" ht="15.75" customHeight="1">
      <c r="D164" s="206"/>
      <c r="E164" s="337"/>
      <c r="F164" s="538"/>
      <c r="G164" s="538"/>
      <c r="H164" s="539"/>
      <c r="I164" s="543"/>
      <c r="K164" s="458"/>
      <c r="L164" s="458"/>
    </row>
    <row r="165" ht="15.75" customHeight="1">
      <c r="D165" s="206"/>
      <c r="E165" s="337"/>
      <c r="F165" s="538"/>
      <c r="G165" s="538"/>
      <c r="H165" s="539"/>
      <c r="I165" s="543"/>
      <c r="K165" s="458"/>
      <c r="L165" s="458"/>
    </row>
    <row r="166" ht="15.75" customHeight="1">
      <c r="D166" s="206"/>
      <c r="E166" s="337"/>
      <c r="F166" s="538"/>
      <c r="G166" s="538"/>
      <c r="H166" s="539"/>
      <c r="I166" s="543"/>
      <c r="K166" s="458"/>
      <c r="L166" s="458"/>
    </row>
    <row r="167" ht="15.75" customHeight="1">
      <c r="D167" s="206"/>
      <c r="E167" s="337"/>
      <c r="F167" s="538"/>
      <c r="G167" s="538"/>
      <c r="H167" s="539"/>
      <c r="I167" s="543"/>
      <c r="K167" s="458"/>
      <c r="L167" s="458"/>
    </row>
    <row r="168" ht="15.75" customHeight="1">
      <c r="D168" s="206"/>
      <c r="E168" s="337"/>
      <c r="F168" s="538"/>
      <c r="G168" s="538"/>
      <c r="H168" s="539"/>
      <c r="I168" s="543"/>
      <c r="K168" s="458"/>
      <c r="L168" s="458"/>
    </row>
    <row r="169" ht="15.75" customHeight="1">
      <c r="D169" s="206"/>
      <c r="E169" s="337"/>
      <c r="F169" s="538"/>
      <c r="G169" s="538"/>
      <c r="H169" s="539"/>
      <c r="I169" s="543"/>
      <c r="K169" s="458"/>
      <c r="L169" s="458"/>
    </row>
    <row r="170" ht="15.75" customHeight="1">
      <c r="D170" s="206"/>
      <c r="E170" s="337"/>
      <c r="F170" s="538"/>
      <c r="G170" s="538"/>
      <c r="H170" s="539"/>
      <c r="I170" s="543"/>
      <c r="K170" s="458"/>
      <c r="L170" s="458"/>
    </row>
    <row r="171" ht="15.75" customHeight="1">
      <c r="D171" s="206"/>
      <c r="E171" s="337"/>
      <c r="F171" s="538"/>
      <c r="G171" s="538"/>
      <c r="H171" s="539"/>
      <c r="I171" s="543"/>
      <c r="K171" s="458"/>
      <c r="L171" s="458"/>
    </row>
    <row r="172" ht="15.75" customHeight="1">
      <c r="D172" s="206"/>
      <c r="E172" s="337"/>
      <c r="F172" s="538"/>
      <c r="G172" s="538"/>
      <c r="H172" s="539"/>
      <c r="I172" s="543"/>
      <c r="K172" s="458"/>
      <c r="L172" s="458"/>
    </row>
    <row r="173" ht="15.75" customHeight="1">
      <c r="D173" s="206"/>
      <c r="E173" s="337"/>
      <c r="F173" s="538"/>
      <c r="G173" s="538"/>
      <c r="H173" s="539"/>
      <c r="I173" s="543"/>
      <c r="K173" s="458"/>
      <c r="L173" s="458"/>
    </row>
    <row r="174" ht="15.75" customHeight="1">
      <c r="D174" s="206"/>
      <c r="E174" s="337"/>
      <c r="F174" s="538"/>
      <c r="G174" s="538"/>
      <c r="H174" s="539"/>
      <c r="I174" s="543"/>
      <c r="K174" s="458"/>
      <c r="L174" s="458"/>
    </row>
    <row r="175" ht="15.75" customHeight="1">
      <c r="D175" s="206"/>
      <c r="E175" s="337"/>
      <c r="F175" s="538"/>
      <c r="G175" s="538"/>
      <c r="H175" s="539"/>
      <c r="I175" s="543"/>
      <c r="K175" s="458"/>
      <c r="L175" s="458"/>
    </row>
    <row r="176" ht="15.75" customHeight="1">
      <c r="D176" s="206"/>
      <c r="E176" s="337"/>
      <c r="F176" s="538"/>
      <c r="G176" s="538"/>
      <c r="H176" s="539"/>
      <c r="I176" s="543"/>
      <c r="K176" s="458"/>
      <c r="L176" s="458"/>
    </row>
    <row r="177" ht="15.75" customHeight="1">
      <c r="D177" s="206"/>
      <c r="E177" s="337"/>
      <c r="F177" s="538"/>
      <c r="G177" s="538"/>
      <c r="H177" s="539"/>
      <c r="I177" s="543"/>
      <c r="K177" s="458"/>
      <c r="L177" s="458"/>
    </row>
    <row r="178" ht="15.75" customHeight="1">
      <c r="D178" s="206"/>
      <c r="E178" s="337"/>
      <c r="F178" s="538"/>
      <c r="G178" s="538"/>
      <c r="H178" s="539"/>
      <c r="I178" s="543"/>
      <c r="K178" s="458"/>
      <c r="L178" s="458"/>
    </row>
    <row r="179" ht="15.75" customHeight="1">
      <c r="D179" s="206"/>
      <c r="E179" s="337"/>
      <c r="F179" s="538"/>
      <c r="G179" s="538"/>
      <c r="H179" s="539"/>
      <c r="I179" s="543"/>
      <c r="K179" s="458"/>
      <c r="L179" s="458"/>
    </row>
    <row r="180" ht="15.75" customHeight="1">
      <c r="D180" s="206"/>
      <c r="E180" s="337"/>
      <c r="F180" s="538"/>
      <c r="G180" s="538"/>
      <c r="H180" s="539"/>
      <c r="I180" s="543"/>
      <c r="K180" s="458"/>
      <c r="L180" s="458"/>
    </row>
    <row r="181" ht="15.75" customHeight="1">
      <c r="D181" s="206"/>
      <c r="E181" s="337"/>
      <c r="F181" s="538"/>
      <c r="G181" s="538"/>
      <c r="H181" s="539"/>
      <c r="I181" s="543"/>
      <c r="K181" s="458"/>
      <c r="L181" s="458"/>
    </row>
    <row r="182" ht="15.75" customHeight="1">
      <c r="D182" s="206"/>
      <c r="E182" s="337"/>
      <c r="F182" s="538"/>
      <c r="G182" s="538"/>
      <c r="H182" s="539"/>
      <c r="I182" s="543"/>
      <c r="K182" s="458"/>
      <c r="L182" s="458"/>
    </row>
    <row r="183" ht="15.75" customHeight="1">
      <c r="D183" s="206"/>
      <c r="E183" s="337"/>
      <c r="F183" s="538"/>
      <c r="G183" s="538"/>
      <c r="H183" s="539"/>
      <c r="I183" s="543"/>
      <c r="K183" s="458"/>
      <c r="L183" s="458"/>
    </row>
    <row r="184" ht="15.75" customHeight="1">
      <c r="D184" s="206"/>
      <c r="E184" s="337"/>
      <c r="F184" s="538"/>
      <c r="G184" s="538"/>
      <c r="H184" s="539"/>
      <c r="I184" s="543"/>
      <c r="K184" s="458"/>
      <c r="L184" s="458"/>
    </row>
    <row r="185" ht="15.75" customHeight="1">
      <c r="D185" s="206"/>
      <c r="E185" s="337"/>
      <c r="F185" s="538"/>
      <c r="G185" s="538"/>
      <c r="H185" s="539"/>
      <c r="I185" s="543"/>
      <c r="K185" s="458"/>
      <c r="L185" s="458"/>
    </row>
    <row r="186" ht="15.75" customHeight="1">
      <c r="D186" s="206"/>
      <c r="E186" s="337"/>
      <c r="F186" s="538"/>
      <c r="G186" s="538"/>
      <c r="H186" s="539"/>
      <c r="I186" s="543"/>
      <c r="K186" s="458"/>
      <c r="L186" s="458"/>
    </row>
    <row r="187" ht="15.75" customHeight="1">
      <c r="D187" s="206"/>
      <c r="E187" s="337"/>
      <c r="F187" s="538"/>
      <c r="G187" s="538"/>
      <c r="H187" s="539"/>
      <c r="I187" s="543"/>
      <c r="K187" s="458"/>
      <c r="L187" s="458"/>
    </row>
    <row r="188" ht="15.75" customHeight="1">
      <c r="D188" s="206"/>
      <c r="E188" s="337"/>
      <c r="F188" s="538"/>
      <c r="G188" s="538"/>
      <c r="H188" s="539"/>
      <c r="I188" s="543"/>
      <c r="K188" s="458"/>
      <c r="L188" s="458"/>
    </row>
    <row r="189" ht="15.75" customHeight="1">
      <c r="D189" s="206"/>
      <c r="E189" s="337"/>
      <c r="F189" s="538"/>
      <c r="G189" s="538"/>
      <c r="H189" s="539"/>
      <c r="I189" s="543"/>
      <c r="K189" s="458"/>
      <c r="L189" s="458"/>
    </row>
    <row r="190" ht="15.75" customHeight="1">
      <c r="D190" s="206"/>
      <c r="E190" s="337"/>
      <c r="F190" s="538"/>
      <c r="G190" s="538"/>
      <c r="H190" s="539"/>
      <c r="I190" s="543"/>
      <c r="K190" s="458"/>
      <c r="L190" s="458"/>
    </row>
    <row r="191" ht="15.75" customHeight="1">
      <c r="D191" s="206"/>
      <c r="E191" s="337"/>
      <c r="F191" s="538"/>
      <c r="G191" s="538"/>
      <c r="H191" s="539"/>
      <c r="I191" s="543"/>
      <c r="K191" s="458"/>
      <c r="L191" s="458"/>
    </row>
    <row r="192" ht="15.75" customHeight="1">
      <c r="D192" s="206"/>
      <c r="E192" s="337"/>
      <c r="F192" s="538"/>
      <c r="G192" s="538"/>
      <c r="H192" s="539"/>
      <c r="I192" s="543"/>
      <c r="K192" s="458"/>
      <c r="L192" s="458"/>
    </row>
    <row r="193" ht="15.75" customHeight="1">
      <c r="D193" s="206"/>
      <c r="E193" s="337"/>
      <c r="F193" s="538"/>
      <c r="G193" s="538"/>
      <c r="H193" s="539"/>
      <c r="I193" s="543"/>
      <c r="K193" s="458"/>
      <c r="L193" s="458"/>
    </row>
    <row r="194" ht="15.75" customHeight="1">
      <c r="D194" s="206"/>
      <c r="E194" s="337"/>
      <c r="F194" s="538"/>
      <c r="G194" s="538"/>
      <c r="H194" s="539"/>
      <c r="I194" s="543"/>
      <c r="K194" s="458"/>
      <c r="L194" s="458"/>
    </row>
    <row r="195" ht="15.75" customHeight="1">
      <c r="D195" s="206"/>
      <c r="E195" s="337"/>
      <c r="F195" s="538"/>
      <c r="G195" s="538"/>
      <c r="H195" s="539"/>
      <c r="I195" s="543"/>
      <c r="K195" s="458"/>
      <c r="L195" s="458"/>
    </row>
    <row r="196" ht="15.75" customHeight="1">
      <c r="D196" s="206"/>
      <c r="E196" s="337"/>
      <c r="F196" s="538"/>
      <c r="G196" s="538"/>
      <c r="H196" s="539"/>
      <c r="I196" s="543"/>
      <c r="K196" s="458"/>
      <c r="L196" s="458"/>
    </row>
    <row r="197" ht="15.75" customHeight="1">
      <c r="D197" s="206"/>
      <c r="E197" s="337"/>
      <c r="F197" s="538"/>
      <c r="G197" s="538"/>
      <c r="H197" s="539"/>
      <c r="I197" s="543"/>
      <c r="K197" s="458"/>
      <c r="L197" s="458"/>
    </row>
    <row r="198" ht="15.75" customHeight="1">
      <c r="D198" s="206"/>
      <c r="E198" s="337"/>
      <c r="F198" s="538"/>
      <c r="G198" s="538"/>
      <c r="H198" s="539"/>
      <c r="I198" s="543"/>
      <c r="K198" s="458"/>
      <c r="L198" s="458"/>
    </row>
    <row r="199" ht="15.75" customHeight="1">
      <c r="D199" s="206"/>
      <c r="E199" s="337"/>
      <c r="F199" s="538"/>
      <c r="G199" s="538"/>
      <c r="H199" s="539"/>
      <c r="I199" s="543"/>
      <c r="K199" s="458"/>
      <c r="L199" s="458"/>
    </row>
    <row r="200" ht="15.75" customHeight="1">
      <c r="D200" s="206"/>
      <c r="E200" s="337"/>
      <c r="F200" s="538"/>
      <c r="G200" s="538"/>
      <c r="H200" s="539"/>
      <c r="I200" s="543"/>
      <c r="K200" s="458"/>
      <c r="L200" s="458"/>
    </row>
    <row r="201" ht="15.75" customHeight="1">
      <c r="D201" s="206"/>
      <c r="E201" s="337"/>
      <c r="F201" s="538"/>
      <c r="G201" s="538"/>
      <c r="H201" s="539"/>
      <c r="I201" s="543"/>
      <c r="K201" s="458"/>
      <c r="L201" s="458"/>
    </row>
    <row r="202" ht="15.75" customHeight="1">
      <c r="D202" s="206"/>
      <c r="E202" s="337"/>
      <c r="F202" s="538"/>
      <c r="G202" s="538"/>
      <c r="H202" s="539"/>
      <c r="I202" s="543"/>
      <c r="K202" s="458"/>
      <c r="L202" s="458"/>
    </row>
    <row r="203" ht="15.75" customHeight="1">
      <c r="D203" s="206"/>
      <c r="E203" s="337"/>
      <c r="F203" s="538"/>
      <c r="G203" s="538"/>
      <c r="H203" s="539"/>
      <c r="I203" s="543"/>
      <c r="K203" s="458"/>
      <c r="L203" s="458"/>
    </row>
    <row r="204" ht="15.75" customHeight="1">
      <c r="D204" s="206"/>
      <c r="E204" s="337"/>
      <c r="F204" s="538"/>
      <c r="G204" s="538"/>
      <c r="H204" s="539"/>
      <c r="I204" s="543"/>
      <c r="K204" s="458"/>
      <c r="L204" s="458"/>
    </row>
    <row r="205" ht="15.75" customHeight="1">
      <c r="D205" s="206"/>
      <c r="E205" s="337"/>
      <c r="F205" s="538"/>
      <c r="G205" s="538"/>
      <c r="H205" s="539"/>
      <c r="I205" s="543"/>
      <c r="K205" s="458"/>
      <c r="L205" s="458"/>
    </row>
    <row r="206" ht="15.75" customHeight="1">
      <c r="D206" s="206"/>
      <c r="E206" s="337"/>
      <c r="F206" s="538"/>
      <c r="G206" s="538"/>
      <c r="H206" s="539"/>
      <c r="I206" s="543"/>
      <c r="K206" s="458"/>
      <c r="L206" s="458"/>
    </row>
    <row r="207" ht="15.75" customHeight="1">
      <c r="D207" s="206"/>
      <c r="E207" s="337"/>
      <c r="F207" s="538"/>
      <c r="G207" s="538"/>
      <c r="H207" s="539"/>
      <c r="I207" s="543"/>
      <c r="K207" s="458"/>
      <c r="L207" s="458"/>
    </row>
    <row r="208" ht="15.75" customHeight="1">
      <c r="D208" s="206"/>
      <c r="E208" s="337"/>
      <c r="F208" s="538"/>
      <c r="G208" s="538"/>
      <c r="H208" s="539"/>
      <c r="I208" s="543"/>
      <c r="K208" s="458"/>
      <c r="L208" s="458"/>
    </row>
    <row r="209" ht="15.75" customHeight="1">
      <c r="D209" s="206"/>
      <c r="E209" s="337"/>
      <c r="F209" s="538"/>
      <c r="G209" s="538"/>
      <c r="H209" s="539"/>
      <c r="I209" s="543"/>
      <c r="K209" s="458"/>
      <c r="L209" s="458"/>
    </row>
    <row r="210" ht="15.75" customHeight="1">
      <c r="D210" s="206"/>
      <c r="E210" s="337"/>
      <c r="F210" s="538"/>
      <c r="G210" s="538"/>
      <c r="H210" s="539"/>
      <c r="I210" s="543"/>
      <c r="K210" s="458"/>
      <c r="L210" s="458"/>
    </row>
    <row r="211" ht="15.75" customHeight="1">
      <c r="D211" s="206"/>
      <c r="E211" s="337"/>
      <c r="F211" s="538"/>
      <c r="G211" s="538"/>
      <c r="H211" s="539"/>
      <c r="I211" s="543"/>
      <c r="K211" s="458"/>
      <c r="L211" s="458"/>
    </row>
    <row r="212" ht="15.75" customHeight="1">
      <c r="D212" s="206"/>
      <c r="E212" s="337"/>
      <c r="F212" s="538"/>
      <c r="G212" s="538"/>
      <c r="H212" s="539"/>
      <c r="I212" s="543"/>
      <c r="K212" s="458"/>
      <c r="L212" s="458"/>
    </row>
    <row r="213" ht="15.75" customHeight="1">
      <c r="D213" s="206"/>
      <c r="E213" s="337"/>
      <c r="F213" s="538"/>
      <c r="G213" s="538"/>
      <c r="H213" s="539"/>
      <c r="I213" s="543"/>
      <c r="K213" s="458"/>
      <c r="L213" s="458"/>
    </row>
    <row r="214" ht="15.75" customHeight="1">
      <c r="D214" s="206"/>
      <c r="E214" s="337"/>
      <c r="F214" s="538"/>
      <c r="G214" s="538"/>
      <c r="H214" s="539"/>
      <c r="I214" s="543"/>
      <c r="K214" s="458"/>
      <c r="L214" s="458"/>
    </row>
    <row r="215" ht="15.75" customHeight="1">
      <c r="D215" s="206"/>
      <c r="E215" s="337"/>
      <c r="F215" s="538"/>
      <c r="G215" s="538"/>
      <c r="H215" s="539"/>
      <c r="I215" s="543"/>
      <c r="K215" s="458"/>
      <c r="L215" s="458"/>
    </row>
    <row r="216" ht="15.75" customHeight="1">
      <c r="D216" s="206"/>
      <c r="E216" s="337"/>
      <c r="F216" s="538"/>
      <c r="G216" s="538"/>
      <c r="H216" s="539"/>
      <c r="I216" s="543"/>
      <c r="K216" s="458"/>
      <c r="L216" s="458"/>
    </row>
    <row r="217" ht="15.75" customHeight="1">
      <c r="D217" s="206"/>
      <c r="E217" s="337"/>
      <c r="F217" s="538"/>
      <c r="G217" s="538"/>
      <c r="H217" s="539"/>
      <c r="I217" s="543"/>
      <c r="K217" s="458"/>
      <c r="L217" s="458"/>
    </row>
    <row r="218" ht="15.75" customHeight="1">
      <c r="D218" s="206"/>
      <c r="E218" s="337"/>
      <c r="F218" s="538"/>
      <c r="G218" s="538"/>
      <c r="H218" s="539"/>
      <c r="I218" s="543"/>
      <c r="K218" s="458"/>
      <c r="L218" s="458"/>
    </row>
    <row r="219" ht="15.75" customHeight="1">
      <c r="D219" s="206"/>
      <c r="E219" s="337"/>
      <c r="F219" s="538"/>
      <c r="G219" s="538"/>
      <c r="H219" s="539"/>
      <c r="I219" s="543"/>
      <c r="K219" s="458"/>
      <c r="L219" s="458"/>
    </row>
    <row r="220" ht="15.75" customHeight="1">
      <c r="D220" s="206"/>
      <c r="E220" s="337"/>
      <c r="F220" s="538"/>
      <c r="G220" s="538"/>
      <c r="H220" s="539"/>
      <c r="I220" s="543"/>
      <c r="K220" s="458"/>
      <c r="L220" s="458"/>
    </row>
    <row r="221" ht="15.75" customHeight="1">
      <c r="D221" s="206"/>
      <c r="E221" s="337"/>
      <c r="F221" s="538"/>
      <c r="G221" s="538"/>
      <c r="H221" s="539"/>
      <c r="I221" s="543"/>
      <c r="K221" s="458"/>
      <c r="L221" s="458"/>
    </row>
    <row r="222" ht="15.75" customHeight="1">
      <c r="D222" s="206"/>
      <c r="E222" s="337"/>
      <c r="F222" s="538"/>
      <c r="G222" s="538"/>
      <c r="H222" s="539"/>
      <c r="I222" s="543"/>
      <c r="K222" s="458"/>
      <c r="L222" s="458"/>
    </row>
    <row r="223" ht="15.75" customHeight="1">
      <c r="D223" s="206"/>
      <c r="E223" s="337"/>
      <c r="F223" s="538"/>
      <c r="G223" s="538"/>
      <c r="H223" s="539"/>
      <c r="I223" s="543"/>
      <c r="K223" s="458"/>
      <c r="L223" s="458"/>
    </row>
    <row r="224" ht="15.75" customHeight="1">
      <c r="D224" s="206"/>
      <c r="E224" s="337"/>
      <c r="F224" s="538"/>
      <c r="G224" s="538"/>
      <c r="H224" s="539"/>
      <c r="I224" s="543"/>
      <c r="K224" s="458"/>
      <c r="L224" s="458"/>
    </row>
    <row r="225" ht="15.75" customHeight="1">
      <c r="D225" s="206"/>
      <c r="E225" s="337"/>
      <c r="F225" s="538"/>
      <c r="G225" s="538"/>
      <c r="H225" s="539"/>
      <c r="I225" s="543"/>
      <c r="K225" s="458"/>
      <c r="L225" s="458"/>
    </row>
    <row r="226" ht="15.75" customHeight="1">
      <c r="D226" s="206"/>
      <c r="E226" s="337"/>
      <c r="F226" s="538"/>
      <c r="G226" s="538"/>
      <c r="H226" s="539"/>
      <c r="I226" s="543"/>
      <c r="K226" s="458"/>
      <c r="L226" s="458"/>
    </row>
    <row r="227" ht="15.75" customHeight="1">
      <c r="D227" s="206"/>
      <c r="E227" s="337"/>
      <c r="F227" s="538"/>
      <c r="G227" s="538"/>
      <c r="H227" s="539"/>
      <c r="I227" s="543"/>
      <c r="K227" s="458"/>
      <c r="L227" s="458"/>
    </row>
    <row r="228" ht="15.75" customHeight="1">
      <c r="D228" s="206"/>
      <c r="E228" s="337"/>
      <c r="F228" s="538"/>
      <c r="G228" s="538"/>
      <c r="H228" s="539"/>
      <c r="I228" s="543"/>
      <c r="K228" s="458"/>
      <c r="L228" s="458"/>
    </row>
    <row r="229" ht="15.75" customHeight="1">
      <c r="D229" s="206"/>
      <c r="E229" s="337"/>
      <c r="F229" s="538"/>
      <c r="G229" s="538"/>
      <c r="H229" s="539"/>
      <c r="I229" s="543"/>
      <c r="K229" s="458"/>
      <c r="L229" s="458"/>
    </row>
    <row r="230" ht="15.75" customHeight="1">
      <c r="D230" s="206"/>
      <c r="E230" s="337"/>
      <c r="F230" s="538"/>
      <c r="G230" s="538"/>
      <c r="H230" s="539"/>
      <c r="I230" s="543"/>
      <c r="K230" s="458"/>
      <c r="L230" s="458"/>
    </row>
    <row r="231" ht="15.75" customHeight="1">
      <c r="D231" s="206"/>
      <c r="E231" s="337"/>
      <c r="F231" s="538"/>
      <c r="G231" s="538"/>
      <c r="H231" s="539"/>
      <c r="I231" s="543"/>
      <c r="K231" s="458"/>
      <c r="L231" s="458"/>
    </row>
    <row r="232" ht="15.75" customHeight="1">
      <c r="D232" s="206"/>
      <c r="E232" s="337"/>
      <c r="F232" s="538"/>
      <c r="G232" s="538"/>
      <c r="H232" s="539"/>
      <c r="I232" s="543"/>
      <c r="K232" s="458"/>
      <c r="L232" s="458"/>
    </row>
    <row r="233" ht="15.75" customHeight="1">
      <c r="D233" s="206"/>
      <c r="E233" s="337"/>
      <c r="F233" s="538"/>
      <c r="G233" s="538"/>
      <c r="H233" s="539"/>
      <c r="I233" s="543"/>
      <c r="K233" s="458"/>
      <c r="L233" s="458"/>
    </row>
    <row r="234" ht="15.75" customHeight="1">
      <c r="D234" s="206"/>
      <c r="E234" s="337"/>
      <c r="F234" s="538"/>
      <c r="G234" s="538"/>
      <c r="H234" s="539"/>
      <c r="I234" s="543"/>
      <c r="K234" s="458"/>
      <c r="L234" s="458"/>
    </row>
    <row r="235" ht="15.75" customHeight="1">
      <c r="D235" s="206"/>
      <c r="E235" s="337"/>
      <c r="F235" s="538"/>
      <c r="G235" s="538"/>
      <c r="H235" s="539"/>
      <c r="I235" s="543"/>
      <c r="K235" s="458"/>
      <c r="L235" s="458"/>
    </row>
    <row r="236" ht="15.75" customHeight="1">
      <c r="D236" s="206"/>
      <c r="E236" s="337"/>
      <c r="F236" s="538"/>
      <c r="G236" s="538"/>
      <c r="H236" s="539"/>
      <c r="I236" s="543"/>
      <c r="K236" s="458"/>
      <c r="L236" s="458"/>
    </row>
    <row r="237" ht="15.75" customHeight="1">
      <c r="D237" s="206"/>
      <c r="E237" s="337"/>
      <c r="F237" s="538"/>
      <c r="G237" s="538"/>
      <c r="H237" s="539"/>
      <c r="I237" s="543"/>
      <c r="K237" s="458"/>
      <c r="L237" s="458"/>
    </row>
    <row r="238" ht="15.75" customHeight="1">
      <c r="D238" s="206"/>
      <c r="E238" s="337"/>
      <c r="F238" s="538"/>
      <c r="G238" s="538"/>
      <c r="H238" s="539"/>
      <c r="I238" s="543"/>
      <c r="K238" s="458"/>
      <c r="L238" s="458"/>
    </row>
    <row r="239" ht="15.75" customHeight="1">
      <c r="D239" s="206"/>
      <c r="E239" s="337"/>
      <c r="F239" s="538"/>
      <c r="G239" s="538"/>
      <c r="H239" s="539"/>
      <c r="I239" s="543"/>
      <c r="K239" s="458"/>
      <c r="L239" s="458"/>
    </row>
    <row r="240" ht="15.75" customHeight="1">
      <c r="D240" s="206"/>
      <c r="E240" s="337"/>
      <c r="F240" s="538"/>
      <c r="G240" s="538"/>
      <c r="H240" s="539"/>
      <c r="I240" s="543"/>
      <c r="K240" s="458"/>
      <c r="L240" s="458"/>
    </row>
    <row r="241" ht="15.75" customHeight="1">
      <c r="D241" s="206"/>
      <c r="E241" s="337"/>
      <c r="F241" s="538"/>
      <c r="G241" s="538"/>
      <c r="H241" s="539"/>
      <c r="I241" s="543"/>
      <c r="K241" s="458"/>
      <c r="L241" s="458"/>
    </row>
    <row r="242" ht="15.75" customHeight="1">
      <c r="D242" s="206"/>
      <c r="E242" s="337"/>
      <c r="F242" s="538"/>
      <c r="G242" s="538"/>
      <c r="H242" s="539"/>
      <c r="I242" s="543"/>
      <c r="K242" s="458"/>
      <c r="L242" s="458"/>
    </row>
    <row r="243" ht="15.75" customHeight="1">
      <c r="D243" s="206"/>
      <c r="E243" s="337"/>
      <c r="F243" s="538"/>
      <c r="G243" s="538"/>
      <c r="H243" s="539"/>
      <c r="I243" s="543"/>
      <c r="K243" s="458"/>
      <c r="L243" s="458"/>
    </row>
    <row r="244" ht="15.75" customHeight="1">
      <c r="D244" s="206"/>
      <c r="E244" s="337"/>
      <c r="F244" s="538"/>
      <c r="G244" s="538"/>
      <c r="H244" s="539"/>
      <c r="I244" s="543"/>
      <c r="K244" s="458"/>
      <c r="L244" s="458"/>
    </row>
    <row r="245" ht="15.75" customHeight="1">
      <c r="D245" s="206"/>
      <c r="E245" s="337"/>
      <c r="F245" s="538"/>
      <c r="G245" s="538"/>
      <c r="H245" s="539"/>
      <c r="I245" s="543"/>
      <c r="K245" s="458"/>
      <c r="L245" s="458"/>
    </row>
    <row r="246" ht="15.75" customHeight="1">
      <c r="D246" s="206"/>
      <c r="E246" s="337"/>
      <c r="F246" s="538"/>
      <c r="G246" s="538"/>
      <c r="H246" s="539"/>
      <c r="I246" s="543"/>
      <c r="K246" s="458"/>
      <c r="L246" s="458"/>
    </row>
    <row r="247" ht="15.75" customHeight="1">
      <c r="D247" s="206"/>
      <c r="E247" s="337"/>
      <c r="F247" s="538"/>
      <c r="G247" s="538"/>
      <c r="H247" s="539"/>
      <c r="I247" s="543"/>
      <c r="K247" s="458"/>
      <c r="L247" s="458"/>
    </row>
    <row r="248" ht="15.75" customHeight="1">
      <c r="D248" s="206"/>
      <c r="E248" s="337"/>
      <c r="F248" s="538"/>
      <c r="G248" s="538"/>
      <c r="H248" s="539"/>
      <c r="I248" s="543"/>
      <c r="K248" s="458"/>
      <c r="L248" s="458"/>
    </row>
    <row r="249" ht="15.75" customHeight="1">
      <c r="D249" s="206"/>
      <c r="E249" s="337"/>
      <c r="F249" s="538"/>
      <c r="G249" s="538"/>
      <c r="H249" s="539"/>
      <c r="I249" s="543"/>
      <c r="K249" s="458"/>
      <c r="L249" s="458"/>
    </row>
    <row r="250" ht="15.75" customHeight="1">
      <c r="D250" s="206"/>
      <c r="E250" s="337"/>
      <c r="F250" s="538"/>
      <c r="G250" s="538"/>
      <c r="H250" s="539"/>
      <c r="I250" s="543"/>
      <c r="K250" s="458"/>
      <c r="L250" s="458"/>
    </row>
    <row r="251" ht="15.75" customHeight="1">
      <c r="D251" s="206"/>
      <c r="E251" s="337"/>
      <c r="F251" s="538"/>
      <c r="G251" s="538"/>
      <c r="H251" s="539"/>
      <c r="I251" s="543"/>
      <c r="K251" s="458"/>
      <c r="L251" s="458"/>
    </row>
    <row r="252" ht="15.75" customHeight="1">
      <c r="D252" s="206"/>
      <c r="E252" s="337"/>
      <c r="F252" s="538"/>
      <c r="G252" s="538"/>
      <c r="H252" s="539"/>
      <c r="I252" s="543"/>
      <c r="K252" s="458"/>
      <c r="L252" s="458"/>
    </row>
    <row r="253" ht="15.75" customHeight="1">
      <c r="D253" s="206"/>
      <c r="E253" s="337"/>
      <c r="F253" s="538"/>
      <c r="G253" s="538"/>
      <c r="H253" s="539"/>
      <c r="I253" s="543"/>
      <c r="K253" s="458"/>
      <c r="L253" s="458"/>
    </row>
    <row r="254" ht="15.75" customHeight="1">
      <c r="D254" s="206"/>
      <c r="E254" s="337"/>
      <c r="F254" s="538"/>
      <c r="G254" s="538"/>
      <c r="H254" s="539"/>
      <c r="I254" s="543"/>
      <c r="K254" s="458"/>
      <c r="L254" s="458"/>
    </row>
    <row r="255" ht="15.75" customHeight="1">
      <c r="D255" s="206"/>
      <c r="E255" s="337"/>
      <c r="F255" s="538"/>
      <c r="G255" s="538"/>
      <c r="H255" s="539"/>
      <c r="I255" s="543"/>
      <c r="K255" s="458"/>
      <c r="L255" s="458"/>
    </row>
    <row r="256" ht="15.75" customHeight="1">
      <c r="D256" s="206"/>
      <c r="E256" s="337"/>
      <c r="F256" s="538"/>
      <c r="G256" s="538"/>
      <c r="H256" s="539"/>
      <c r="I256" s="543"/>
      <c r="K256" s="458"/>
      <c r="L256" s="458"/>
    </row>
    <row r="257" ht="15.75" customHeight="1">
      <c r="D257" s="206"/>
      <c r="E257" s="337"/>
      <c r="F257" s="538"/>
      <c r="G257" s="538"/>
      <c r="H257" s="539"/>
      <c r="I257" s="543"/>
      <c r="K257" s="458"/>
      <c r="L257" s="458"/>
    </row>
    <row r="258" ht="15.75" customHeight="1">
      <c r="D258" s="206"/>
      <c r="E258" s="337"/>
      <c r="F258" s="538"/>
      <c r="G258" s="538"/>
      <c r="H258" s="539"/>
      <c r="I258" s="543"/>
      <c r="K258" s="458"/>
      <c r="L258" s="458"/>
    </row>
    <row r="259" ht="15.75" customHeight="1">
      <c r="D259" s="206"/>
      <c r="E259" s="337"/>
      <c r="F259" s="538"/>
      <c r="G259" s="538"/>
      <c r="H259" s="539"/>
      <c r="I259" s="543"/>
      <c r="K259" s="458"/>
      <c r="L259" s="458"/>
    </row>
    <row r="260" ht="15.75" customHeight="1">
      <c r="D260" s="206"/>
      <c r="E260" s="337"/>
      <c r="F260" s="538"/>
      <c r="G260" s="538"/>
      <c r="H260" s="539"/>
      <c r="I260" s="543"/>
      <c r="K260" s="458"/>
      <c r="L260" s="458"/>
    </row>
    <row r="261" ht="15.75" customHeight="1">
      <c r="D261" s="206"/>
      <c r="E261" s="337"/>
      <c r="F261" s="538"/>
      <c r="G261" s="538"/>
      <c r="H261" s="539"/>
      <c r="I261" s="543"/>
      <c r="K261" s="458"/>
      <c r="L261" s="458"/>
    </row>
    <row r="262" ht="15.75" customHeight="1">
      <c r="D262" s="206"/>
      <c r="E262" s="337"/>
      <c r="F262" s="538"/>
      <c r="G262" s="538"/>
      <c r="H262" s="539"/>
      <c r="I262" s="543"/>
      <c r="K262" s="458"/>
      <c r="L262" s="458"/>
    </row>
    <row r="263" ht="15.75" customHeight="1">
      <c r="E263" s="625"/>
      <c r="G263" s="460"/>
      <c r="H263" s="626"/>
      <c r="I263" s="543"/>
      <c r="K263" s="460"/>
      <c r="L263" s="460"/>
    </row>
    <row r="264" ht="15.75" customHeight="1">
      <c r="E264" s="625"/>
      <c r="G264" s="460"/>
      <c r="H264" s="626"/>
      <c r="I264" s="543"/>
      <c r="K264" s="460"/>
      <c r="L264" s="460"/>
    </row>
    <row r="265" ht="15.75" customHeight="1">
      <c r="E265" s="625"/>
      <c r="G265" s="460"/>
      <c r="H265" s="626"/>
      <c r="I265" s="543"/>
      <c r="K265" s="460"/>
      <c r="L265" s="460"/>
    </row>
    <row r="266" ht="15.75" customHeight="1">
      <c r="E266" s="625"/>
      <c r="G266" s="460"/>
      <c r="H266" s="626"/>
      <c r="I266" s="543"/>
      <c r="K266" s="460"/>
      <c r="L266" s="460"/>
    </row>
    <row r="267" ht="15.75" customHeight="1">
      <c r="E267" s="625"/>
      <c r="G267" s="460"/>
      <c r="H267" s="626"/>
      <c r="I267" s="543"/>
      <c r="K267" s="460"/>
      <c r="L267" s="460"/>
    </row>
    <row r="268" ht="15.75" customHeight="1">
      <c r="E268" s="625"/>
      <c r="G268" s="460"/>
      <c r="H268" s="626"/>
      <c r="I268" s="543"/>
      <c r="K268" s="460"/>
      <c r="L268" s="460"/>
    </row>
    <row r="269" ht="15.75" customHeight="1">
      <c r="E269" s="625"/>
      <c r="G269" s="460"/>
      <c r="H269" s="626"/>
      <c r="I269" s="543"/>
      <c r="K269" s="460"/>
      <c r="L269" s="460"/>
    </row>
    <row r="270" ht="15.75" customHeight="1">
      <c r="E270" s="625"/>
      <c r="G270" s="460"/>
      <c r="H270" s="626"/>
      <c r="I270" s="543"/>
      <c r="K270" s="460"/>
      <c r="L270" s="460"/>
    </row>
    <row r="271" ht="15.75" customHeight="1">
      <c r="E271" s="625"/>
      <c r="G271" s="460"/>
      <c r="H271" s="626"/>
      <c r="I271" s="543"/>
      <c r="K271" s="460"/>
      <c r="L271" s="460"/>
    </row>
    <row r="272" ht="15.75" customHeight="1">
      <c r="E272" s="625"/>
      <c r="G272" s="460"/>
      <c r="H272" s="626"/>
      <c r="I272" s="543"/>
      <c r="K272" s="460"/>
      <c r="L272" s="460"/>
    </row>
    <row r="273" ht="15.75" customHeight="1">
      <c r="E273" s="625"/>
      <c r="G273" s="460"/>
      <c r="H273" s="626"/>
      <c r="I273" s="543"/>
      <c r="K273" s="460"/>
      <c r="L273" s="460"/>
    </row>
    <row r="274" ht="15.75" customHeight="1">
      <c r="E274" s="625"/>
      <c r="G274" s="460"/>
      <c r="H274" s="626"/>
      <c r="I274" s="543"/>
      <c r="K274" s="460"/>
      <c r="L274" s="460"/>
    </row>
    <row r="275" ht="15.75" customHeight="1">
      <c r="E275" s="625"/>
      <c r="G275" s="460"/>
      <c r="H275" s="626"/>
      <c r="I275" s="543"/>
      <c r="K275" s="460"/>
      <c r="L275" s="460"/>
    </row>
    <row r="276" ht="15.75" customHeight="1">
      <c r="E276" s="625"/>
      <c r="G276" s="460"/>
      <c r="H276" s="626"/>
      <c r="I276" s="543"/>
      <c r="K276" s="460"/>
      <c r="L276" s="460"/>
    </row>
    <row r="277" ht="15.75" customHeight="1">
      <c r="E277" s="625"/>
      <c r="G277" s="460"/>
      <c r="H277" s="626"/>
      <c r="I277" s="543"/>
      <c r="K277" s="460"/>
      <c r="L277" s="460"/>
    </row>
    <row r="278" ht="15.75" customHeight="1">
      <c r="E278" s="625"/>
      <c r="G278" s="460"/>
      <c r="H278" s="626"/>
      <c r="I278" s="543"/>
      <c r="K278" s="460"/>
      <c r="L278" s="460"/>
    </row>
    <row r="279" ht="15.75" customHeight="1">
      <c r="E279" s="625"/>
      <c r="G279" s="460"/>
      <c r="H279" s="626"/>
      <c r="I279" s="543"/>
      <c r="K279" s="460"/>
      <c r="L279" s="460"/>
    </row>
    <row r="280" ht="15.75" customHeight="1">
      <c r="E280" s="625"/>
      <c r="G280" s="460"/>
      <c r="H280" s="626"/>
      <c r="I280" s="543"/>
      <c r="K280" s="460"/>
      <c r="L280" s="460"/>
    </row>
    <row r="281" ht="15.75" customHeight="1">
      <c r="E281" s="625"/>
      <c r="G281" s="460"/>
      <c r="H281" s="626"/>
      <c r="I281" s="543"/>
      <c r="K281" s="460"/>
      <c r="L281" s="460"/>
    </row>
    <row r="282" ht="15.75" customHeight="1">
      <c r="E282" s="625"/>
      <c r="G282" s="460"/>
      <c r="H282" s="626"/>
      <c r="I282" s="543"/>
      <c r="K282" s="460"/>
      <c r="L282" s="460"/>
    </row>
    <row r="283" ht="15.75" customHeight="1">
      <c r="E283" s="625"/>
      <c r="G283" s="460"/>
      <c r="H283" s="626"/>
      <c r="I283" s="543"/>
      <c r="K283" s="460"/>
      <c r="L283" s="460"/>
    </row>
    <row r="284" ht="15.75" customHeight="1">
      <c r="E284" s="625"/>
      <c r="G284" s="460"/>
      <c r="H284" s="626"/>
      <c r="I284" s="543"/>
      <c r="K284" s="460"/>
      <c r="L284" s="460"/>
    </row>
    <row r="285" ht="15.75" customHeight="1">
      <c r="E285" s="625"/>
      <c r="G285" s="460"/>
      <c r="H285" s="626"/>
      <c r="I285" s="543"/>
      <c r="K285" s="460"/>
      <c r="L285" s="460"/>
    </row>
    <row r="286" ht="15.75" customHeight="1">
      <c r="E286" s="625"/>
      <c r="G286" s="460"/>
      <c r="H286" s="626"/>
      <c r="I286" s="543"/>
      <c r="K286" s="460"/>
      <c r="L286" s="460"/>
    </row>
    <row r="287" ht="15.75" customHeight="1">
      <c r="E287" s="625"/>
      <c r="G287" s="460"/>
      <c r="H287" s="626"/>
      <c r="I287" s="543"/>
      <c r="K287" s="460"/>
      <c r="L287" s="460"/>
    </row>
    <row r="288" ht="15.75" customHeight="1">
      <c r="E288" s="625"/>
      <c r="G288" s="460"/>
      <c r="H288" s="626"/>
      <c r="I288" s="543"/>
      <c r="K288" s="460"/>
      <c r="L288" s="460"/>
    </row>
    <row r="289" ht="15.75" customHeight="1">
      <c r="E289" s="625"/>
      <c r="G289" s="460"/>
      <c r="H289" s="626"/>
      <c r="I289" s="543"/>
      <c r="K289" s="460"/>
      <c r="L289" s="460"/>
    </row>
    <row r="290" ht="15.75" customHeight="1">
      <c r="E290" s="625"/>
      <c r="G290" s="460"/>
      <c r="H290" s="626"/>
      <c r="I290" s="543"/>
      <c r="K290" s="460"/>
      <c r="L290" s="460"/>
    </row>
    <row r="291" ht="15.75" customHeight="1">
      <c r="E291" s="625"/>
      <c r="G291" s="460"/>
      <c r="H291" s="626"/>
      <c r="I291" s="543"/>
      <c r="K291" s="460"/>
      <c r="L291" s="460"/>
    </row>
    <row r="292" ht="15.75" customHeight="1">
      <c r="E292" s="625"/>
      <c r="G292" s="460"/>
      <c r="H292" s="626"/>
      <c r="I292" s="543"/>
      <c r="K292" s="460"/>
      <c r="L292" s="460"/>
    </row>
    <row r="293" ht="15.75" customHeight="1">
      <c r="E293" s="625"/>
      <c r="G293" s="460"/>
      <c r="H293" s="626"/>
      <c r="I293" s="543"/>
      <c r="K293" s="460"/>
      <c r="L293" s="460"/>
    </row>
    <row r="294" ht="15.75" customHeight="1">
      <c r="E294" s="625"/>
      <c r="G294" s="460"/>
      <c r="H294" s="626"/>
      <c r="I294" s="543"/>
      <c r="K294" s="460"/>
      <c r="L294" s="460"/>
    </row>
    <row r="295" ht="15.75" customHeight="1">
      <c r="E295" s="625"/>
      <c r="G295" s="460"/>
      <c r="H295" s="626"/>
      <c r="I295" s="543"/>
      <c r="K295" s="460"/>
      <c r="L295" s="460"/>
    </row>
    <row r="296" ht="15.75" customHeight="1">
      <c r="E296" s="625"/>
      <c r="G296" s="460"/>
      <c r="H296" s="626"/>
      <c r="I296" s="543"/>
      <c r="K296" s="460"/>
      <c r="L296" s="460"/>
    </row>
    <row r="297" ht="15.75" customHeight="1">
      <c r="E297" s="625"/>
      <c r="G297" s="460"/>
      <c r="H297" s="626"/>
      <c r="I297" s="543"/>
      <c r="K297" s="460"/>
      <c r="L297" s="460"/>
    </row>
    <row r="298" ht="15.75" customHeight="1">
      <c r="E298" s="625"/>
      <c r="G298" s="460"/>
      <c r="H298" s="626"/>
      <c r="I298" s="543"/>
      <c r="K298" s="460"/>
      <c r="L298" s="460"/>
    </row>
    <row r="299" ht="15.75" customHeight="1">
      <c r="E299" s="625"/>
      <c r="G299" s="460"/>
      <c r="H299" s="626"/>
      <c r="I299" s="543"/>
      <c r="K299" s="460"/>
      <c r="L299" s="460"/>
    </row>
    <row r="300" ht="15.75" customHeight="1">
      <c r="E300" s="625"/>
      <c r="G300" s="460"/>
      <c r="H300" s="626"/>
      <c r="I300" s="543"/>
      <c r="K300" s="460"/>
      <c r="L300" s="460"/>
    </row>
    <row r="301" ht="15.75" customHeight="1">
      <c r="E301" s="625"/>
      <c r="G301" s="460"/>
      <c r="H301" s="626"/>
      <c r="I301" s="543"/>
      <c r="K301" s="460"/>
      <c r="L301" s="460"/>
    </row>
    <row r="302" ht="15.75" customHeight="1">
      <c r="E302" s="625"/>
      <c r="G302" s="460"/>
      <c r="H302" s="626"/>
      <c r="I302" s="543"/>
      <c r="K302" s="460"/>
      <c r="L302" s="460"/>
    </row>
    <row r="303" ht="15.75" customHeight="1">
      <c r="E303" s="625"/>
      <c r="G303" s="460"/>
      <c r="H303" s="626"/>
      <c r="I303" s="543"/>
      <c r="K303" s="460"/>
      <c r="L303" s="460"/>
    </row>
    <row r="304" ht="15.75" customHeight="1">
      <c r="E304" s="625"/>
      <c r="G304" s="460"/>
      <c r="H304" s="626"/>
      <c r="I304" s="543"/>
      <c r="K304" s="460"/>
      <c r="L304" s="460"/>
    </row>
    <row r="305" ht="15.75" customHeight="1">
      <c r="E305" s="625"/>
      <c r="G305" s="460"/>
      <c r="H305" s="626"/>
      <c r="I305" s="543"/>
      <c r="K305" s="460"/>
      <c r="L305" s="460"/>
    </row>
    <row r="306" ht="15.75" customHeight="1">
      <c r="E306" s="625"/>
      <c r="G306" s="460"/>
      <c r="H306" s="626"/>
      <c r="I306" s="543"/>
      <c r="K306" s="460"/>
      <c r="L306" s="460"/>
    </row>
    <row r="307" ht="15.75" customHeight="1">
      <c r="E307" s="625"/>
      <c r="G307" s="460"/>
      <c r="H307" s="626"/>
      <c r="I307" s="543"/>
      <c r="K307" s="460"/>
      <c r="L307" s="460"/>
    </row>
    <row r="308" ht="15.75" customHeight="1">
      <c r="E308" s="625"/>
      <c r="G308" s="460"/>
      <c r="H308" s="626"/>
      <c r="I308" s="543"/>
      <c r="K308" s="460"/>
      <c r="L308" s="460"/>
    </row>
    <row r="309" ht="15.75" customHeight="1">
      <c r="E309" s="625"/>
      <c r="G309" s="460"/>
      <c r="H309" s="626"/>
      <c r="I309" s="543"/>
      <c r="K309" s="460"/>
      <c r="L309" s="460"/>
    </row>
    <row r="310" ht="15.75" customHeight="1">
      <c r="E310" s="625"/>
      <c r="G310" s="460"/>
      <c r="H310" s="626"/>
      <c r="I310" s="543"/>
      <c r="K310" s="460"/>
      <c r="L310" s="460"/>
    </row>
    <row r="311" ht="15.75" customHeight="1">
      <c r="E311" s="625"/>
      <c r="G311" s="460"/>
      <c r="H311" s="626"/>
      <c r="I311" s="543"/>
      <c r="K311" s="460"/>
      <c r="L311" s="460"/>
    </row>
    <row r="312" ht="15.75" customHeight="1">
      <c r="E312" s="625"/>
      <c r="G312" s="460"/>
      <c r="H312" s="626"/>
      <c r="I312" s="543"/>
      <c r="K312" s="460"/>
      <c r="L312" s="460"/>
    </row>
    <row r="313" ht="15.75" customHeight="1">
      <c r="E313" s="625"/>
      <c r="G313" s="460"/>
      <c r="H313" s="626"/>
      <c r="I313" s="543"/>
      <c r="K313" s="460"/>
      <c r="L313" s="460"/>
    </row>
    <row r="314" ht="15.75" customHeight="1">
      <c r="E314" s="625"/>
      <c r="G314" s="460"/>
      <c r="H314" s="626"/>
      <c r="I314" s="543"/>
      <c r="K314" s="460"/>
      <c r="L314" s="460"/>
    </row>
    <row r="315" ht="15.75" customHeight="1">
      <c r="E315" s="625"/>
      <c r="G315" s="460"/>
      <c r="H315" s="626"/>
      <c r="I315" s="543"/>
      <c r="K315" s="460"/>
      <c r="L315" s="460"/>
    </row>
    <row r="316" ht="15.75" customHeight="1">
      <c r="E316" s="625"/>
      <c r="G316" s="460"/>
      <c r="H316" s="626"/>
      <c r="I316" s="543"/>
      <c r="K316" s="460"/>
      <c r="L316" s="460"/>
    </row>
    <row r="317" ht="15.75" customHeight="1">
      <c r="E317" s="625"/>
      <c r="G317" s="460"/>
      <c r="H317" s="626"/>
      <c r="I317" s="543"/>
      <c r="K317" s="460"/>
      <c r="L317" s="460"/>
    </row>
    <row r="318" ht="15.75" customHeight="1">
      <c r="E318" s="625"/>
      <c r="G318" s="460"/>
      <c r="H318" s="626"/>
      <c r="I318" s="543"/>
      <c r="K318" s="460"/>
      <c r="L318" s="460"/>
    </row>
    <row r="319" ht="15.75" customHeight="1">
      <c r="E319" s="625"/>
      <c r="G319" s="460"/>
      <c r="H319" s="626"/>
      <c r="I319" s="543"/>
      <c r="K319" s="460"/>
      <c r="L319" s="460"/>
    </row>
    <row r="320" ht="15.75" customHeight="1">
      <c r="E320" s="625"/>
      <c r="G320" s="460"/>
      <c r="H320" s="626"/>
      <c r="I320" s="543"/>
      <c r="K320" s="460"/>
      <c r="L320" s="460"/>
    </row>
    <row r="321" ht="15.75" customHeight="1">
      <c r="E321" s="625"/>
      <c r="G321" s="460"/>
      <c r="H321" s="626"/>
      <c r="I321" s="543"/>
      <c r="K321" s="460"/>
      <c r="L321" s="460"/>
    </row>
    <row r="322" ht="15.75" customHeight="1">
      <c r="E322" s="625"/>
      <c r="G322" s="460"/>
      <c r="H322" s="626"/>
      <c r="I322" s="543"/>
      <c r="K322" s="460"/>
      <c r="L322" s="460"/>
    </row>
    <row r="323" ht="15.75" customHeight="1">
      <c r="E323" s="625"/>
      <c r="G323" s="460"/>
      <c r="H323" s="626"/>
      <c r="I323" s="543"/>
      <c r="K323" s="460"/>
      <c r="L323" s="460"/>
    </row>
    <row r="324" ht="15.75" customHeight="1">
      <c r="E324" s="625"/>
      <c r="G324" s="460"/>
      <c r="H324" s="626"/>
      <c r="I324" s="543"/>
      <c r="K324" s="460"/>
      <c r="L324" s="460"/>
    </row>
    <row r="325" ht="15.75" customHeight="1">
      <c r="E325" s="625"/>
      <c r="G325" s="460"/>
      <c r="H325" s="626"/>
      <c r="I325" s="543"/>
      <c r="K325" s="460"/>
      <c r="L325" s="460"/>
    </row>
    <row r="326" ht="15.75" customHeight="1">
      <c r="E326" s="625"/>
      <c r="G326" s="460"/>
      <c r="H326" s="626"/>
      <c r="I326" s="543"/>
      <c r="K326" s="460"/>
      <c r="L326" s="460"/>
    </row>
    <row r="327" ht="15.75" customHeight="1">
      <c r="E327" s="625"/>
      <c r="G327" s="460"/>
      <c r="H327" s="626"/>
      <c r="I327" s="543"/>
      <c r="K327" s="460"/>
      <c r="L327" s="460"/>
    </row>
    <row r="328" ht="15.75" customHeight="1">
      <c r="E328" s="625"/>
      <c r="G328" s="460"/>
      <c r="H328" s="626"/>
      <c r="I328" s="543"/>
      <c r="K328" s="460"/>
      <c r="L328" s="460"/>
    </row>
    <row r="329" ht="15.75" customHeight="1">
      <c r="E329" s="625"/>
      <c r="G329" s="460"/>
      <c r="H329" s="626"/>
      <c r="I329" s="543"/>
      <c r="K329" s="460"/>
      <c r="L329" s="460"/>
    </row>
    <row r="330" ht="15.75" customHeight="1">
      <c r="E330" s="625"/>
      <c r="G330" s="460"/>
      <c r="H330" s="626"/>
      <c r="I330" s="543"/>
      <c r="K330" s="460"/>
      <c r="L330" s="460"/>
    </row>
    <row r="331" ht="15.75" customHeight="1">
      <c r="E331" s="625"/>
      <c r="G331" s="460"/>
      <c r="H331" s="626"/>
      <c r="I331" s="543"/>
      <c r="K331" s="460"/>
      <c r="L331" s="460"/>
    </row>
    <row r="332" ht="15.75" customHeight="1">
      <c r="E332" s="625"/>
      <c r="G332" s="460"/>
      <c r="H332" s="626"/>
      <c r="I332" s="543"/>
      <c r="K332" s="460"/>
      <c r="L332" s="460"/>
    </row>
    <row r="333" ht="15.75" customHeight="1">
      <c r="E333" s="625"/>
      <c r="G333" s="460"/>
      <c r="H333" s="626"/>
      <c r="I333" s="543"/>
      <c r="K333" s="460"/>
      <c r="L333" s="460"/>
    </row>
    <row r="334" ht="15.75" customHeight="1">
      <c r="E334" s="625"/>
      <c r="G334" s="460"/>
      <c r="H334" s="626"/>
      <c r="I334" s="543"/>
      <c r="K334" s="460"/>
      <c r="L334" s="460"/>
    </row>
    <row r="335" ht="15.75" customHeight="1">
      <c r="E335" s="625"/>
      <c r="G335" s="460"/>
      <c r="H335" s="626"/>
      <c r="I335" s="543"/>
      <c r="K335" s="460"/>
      <c r="L335" s="460"/>
    </row>
    <row r="336" ht="15.75" customHeight="1">
      <c r="E336" s="625"/>
      <c r="G336" s="460"/>
      <c r="H336" s="626"/>
      <c r="I336" s="543"/>
      <c r="K336" s="460"/>
      <c r="L336" s="460"/>
    </row>
    <row r="337" ht="15.75" customHeight="1">
      <c r="E337" s="625"/>
      <c r="G337" s="460"/>
      <c r="H337" s="626"/>
      <c r="I337" s="543"/>
      <c r="K337" s="460"/>
      <c r="L337" s="460"/>
    </row>
    <row r="338" ht="15.75" customHeight="1">
      <c r="E338" s="625"/>
      <c r="G338" s="460"/>
      <c r="H338" s="626"/>
      <c r="I338" s="543"/>
      <c r="K338" s="460"/>
      <c r="L338" s="460"/>
    </row>
    <row r="339" ht="15.75" customHeight="1">
      <c r="E339" s="625"/>
      <c r="G339" s="460"/>
      <c r="H339" s="626"/>
      <c r="I339" s="543"/>
      <c r="K339" s="460"/>
      <c r="L339" s="460"/>
    </row>
    <row r="340" ht="15.75" customHeight="1">
      <c r="E340" s="625"/>
      <c r="G340" s="460"/>
      <c r="H340" s="626"/>
      <c r="I340" s="543"/>
      <c r="K340" s="460"/>
      <c r="L340" s="460"/>
    </row>
    <row r="341" ht="15.75" customHeight="1">
      <c r="E341" s="625"/>
      <c r="G341" s="460"/>
      <c r="H341" s="626"/>
      <c r="I341" s="543"/>
      <c r="K341" s="460"/>
      <c r="L341" s="460"/>
    </row>
    <row r="342" ht="15.75" customHeight="1">
      <c r="E342" s="625"/>
      <c r="G342" s="460"/>
      <c r="H342" s="626"/>
      <c r="I342" s="543"/>
      <c r="K342" s="460"/>
      <c r="L342" s="460"/>
    </row>
    <row r="343" ht="15.75" customHeight="1">
      <c r="E343" s="625"/>
      <c r="G343" s="460"/>
      <c r="H343" s="626"/>
      <c r="I343" s="543"/>
      <c r="K343" s="460"/>
      <c r="L343" s="460"/>
    </row>
    <row r="344" ht="15.75" customHeight="1">
      <c r="E344" s="625"/>
      <c r="G344" s="460"/>
      <c r="H344" s="626"/>
      <c r="I344" s="543"/>
      <c r="K344" s="460"/>
      <c r="L344" s="460"/>
    </row>
    <row r="345" ht="15.75" customHeight="1">
      <c r="E345" s="625"/>
      <c r="G345" s="460"/>
      <c r="H345" s="626"/>
      <c r="I345" s="543"/>
      <c r="K345" s="460"/>
      <c r="L345" s="460"/>
    </row>
    <row r="346" ht="15.75" customHeight="1">
      <c r="E346" s="625"/>
      <c r="G346" s="460"/>
      <c r="H346" s="626"/>
      <c r="I346" s="543"/>
      <c r="K346" s="460"/>
      <c r="L346" s="460"/>
    </row>
    <row r="347" ht="15.75" customHeight="1">
      <c r="E347" s="625"/>
      <c r="G347" s="460"/>
      <c r="H347" s="626"/>
      <c r="I347" s="543"/>
      <c r="K347" s="460"/>
      <c r="L347" s="460"/>
    </row>
    <row r="348" ht="15.75" customHeight="1">
      <c r="E348" s="625"/>
      <c r="G348" s="460"/>
      <c r="H348" s="626"/>
      <c r="I348" s="543"/>
      <c r="K348" s="460"/>
      <c r="L348" s="460"/>
    </row>
    <row r="349" ht="15.75" customHeight="1">
      <c r="E349" s="625"/>
      <c r="G349" s="460"/>
      <c r="H349" s="626"/>
      <c r="I349" s="543"/>
      <c r="K349" s="460"/>
      <c r="L349" s="460"/>
    </row>
    <row r="350" ht="15.75" customHeight="1">
      <c r="E350" s="625"/>
      <c r="G350" s="460"/>
      <c r="H350" s="626"/>
      <c r="I350" s="543"/>
      <c r="K350" s="460"/>
      <c r="L350" s="460"/>
    </row>
    <row r="351" ht="15.75" customHeight="1">
      <c r="E351" s="625"/>
      <c r="G351" s="460"/>
      <c r="H351" s="626"/>
      <c r="I351" s="543"/>
      <c r="K351" s="460"/>
      <c r="L351" s="460"/>
    </row>
    <row r="352" ht="15.75" customHeight="1">
      <c r="E352" s="625"/>
      <c r="G352" s="460"/>
      <c r="H352" s="626"/>
      <c r="I352" s="543"/>
      <c r="K352" s="460"/>
      <c r="L352" s="460"/>
    </row>
    <row r="353" ht="15.75" customHeight="1">
      <c r="E353" s="625"/>
      <c r="G353" s="460"/>
      <c r="H353" s="626"/>
      <c r="I353" s="543"/>
      <c r="K353" s="460"/>
      <c r="L353" s="460"/>
    </row>
    <row r="354" ht="15.75" customHeight="1">
      <c r="E354" s="625"/>
      <c r="G354" s="460"/>
      <c r="H354" s="626"/>
      <c r="I354" s="543"/>
      <c r="K354" s="460"/>
      <c r="L354" s="460"/>
    </row>
    <row r="355" ht="15.75" customHeight="1">
      <c r="E355" s="625"/>
      <c r="G355" s="460"/>
      <c r="H355" s="626"/>
      <c r="I355" s="543"/>
      <c r="K355" s="460"/>
      <c r="L355" s="460"/>
    </row>
    <row r="356" ht="15.75" customHeight="1">
      <c r="E356" s="625"/>
      <c r="G356" s="460"/>
      <c r="H356" s="626"/>
      <c r="I356" s="543"/>
      <c r="K356" s="460"/>
      <c r="L356" s="460"/>
    </row>
    <row r="357" ht="15.75" customHeight="1">
      <c r="E357" s="625"/>
      <c r="G357" s="460"/>
      <c r="H357" s="626"/>
      <c r="I357" s="543"/>
      <c r="K357" s="460"/>
      <c r="L357" s="460"/>
    </row>
    <row r="358" ht="15.75" customHeight="1">
      <c r="E358" s="625"/>
      <c r="G358" s="460"/>
      <c r="H358" s="626"/>
      <c r="I358" s="543"/>
      <c r="K358" s="460"/>
      <c r="L358" s="460"/>
    </row>
    <row r="359" ht="15.75" customHeight="1">
      <c r="E359" s="625"/>
      <c r="G359" s="460"/>
      <c r="H359" s="626"/>
      <c r="I359" s="543"/>
      <c r="K359" s="460"/>
      <c r="L359" s="460"/>
    </row>
    <row r="360" ht="15.75" customHeight="1">
      <c r="E360" s="625"/>
      <c r="G360" s="460"/>
      <c r="H360" s="626"/>
      <c r="I360" s="543"/>
      <c r="K360" s="460"/>
      <c r="L360" s="460"/>
    </row>
    <row r="361" ht="15.75" customHeight="1">
      <c r="E361" s="625"/>
      <c r="G361" s="460"/>
      <c r="H361" s="626"/>
      <c r="I361" s="543"/>
      <c r="K361" s="460"/>
      <c r="L361" s="460"/>
    </row>
    <row r="362" ht="15.75" customHeight="1">
      <c r="E362" s="625"/>
      <c r="G362" s="460"/>
      <c r="H362" s="626"/>
      <c r="I362" s="543"/>
      <c r="K362" s="460"/>
      <c r="L362" s="460"/>
    </row>
    <row r="363" ht="15.75" customHeight="1">
      <c r="E363" s="625"/>
      <c r="G363" s="460"/>
      <c r="H363" s="626"/>
      <c r="I363" s="543"/>
      <c r="K363" s="460"/>
      <c r="L363" s="460"/>
    </row>
    <row r="364" ht="15.75" customHeight="1">
      <c r="E364" s="625"/>
      <c r="G364" s="460"/>
      <c r="H364" s="626"/>
      <c r="I364" s="543"/>
      <c r="K364" s="460"/>
      <c r="L364" s="460"/>
    </row>
    <row r="365" ht="15.75" customHeight="1">
      <c r="E365" s="625"/>
      <c r="G365" s="460"/>
      <c r="H365" s="626"/>
      <c r="I365" s="543"/>
      <c r="K365" s="460"/>
      <c r="L365" s="460"/>
    </row>
    <row r="366" ht="15.75" customHeight="1">
      <c r="E366" s="625"/>
      <c r="G366" s="460"/>
      <c r="H366" s="626"/>
      <c r="I366" s="543"/>
      <c r="K366" s="460"/>
      <c r="L366" s="460"/>
    </row>
    <row r="367" ht="15.75" customHeight="1">
      <c r="E367" s="625"/>
      <c r="G367" s="460"/>
      <c r="H367" s="626"/>
      <c r="I367" s="543"/>
      <c r="K367" s="460"/>
      <c r="L367" s="460"/>
    </row>
    <row r="368" ht="15.75" customHeight="1">
      <c r="E368" s="625"/>
      <c r="G368" s="460"/>
      <c r="H368" s="626"/>
      <c r="I368" s="543"/>
      <c r="K368" s="460"/>
      <c r="L368" s="460"/>
    </row>
    <row r="369" ht="15.75" customHeight="1">
      <c r="E369" s="625"/>
      <c r="G369" s="460"/>
      <c r="H369" s="626"/>
      <c r="I369" s="543"/>
      <c r="K369" s="460"/>
      <c r="L369" s="460"/>
    </row>
    <row r="370" ht="15.75" customHeight="1">
      <c r="E370" s="625"/>
      <c r="G370" s="460"/>
      <c r="H370" s="626"/>
      <c r="I370" s="543"/>
      <c r="K370" s="460"/>
      <c r="L370" s="460"/>
    </row>
    <row r="371" ht="15.75" customHeight="1">
      <c r="E371" s="625"/>
      <c r="G371" s="460"/>
      <c r="H371" s="626"/>
      <c r="I371" s="543"/>
      <c r="K371" s="460"/>
      <c r="L371" s="460"/>
    </row>
    <row r="372" ht="15.75" customHeight="1">
      <c r="E372" s="625"/>
      <c r="G372" s="460"/>
      <c r="H372" s="626"/>
      <c r="I372" s="543"/>
      <c r="K372" s="460"/>
      <c r="L372" s="460"/>
    </row>
    <row r="373" ht="15.75" customHeight="1">
      <c r="E373" s="625"/>
      <c r="G373" s="460"/>
      <c r="H373" s="626"/>
      <c r="I373" s="543"/>
      <c r="K373" s="460"/>
      <c r="L373" s="460"/>
    </row>
    <row r="374" ht="15.75" customHeight="1">
      <c r="E374" s="625"/>
      <c r="G374" s="460"/>
      <c r="H374" s="626"/>
      <c r="I374" s="543"/>
      <c r="K374" s="460"/>
      <c r="L374" s="460"/>
    </row>
    <row r="375" ht="15.75" customHeight="1">
      <c r="E375" s="625"/>
      <c r="G375" s="460"/>
      <c r="H375" s="626"/>
      <c r="I375" s="543"/>
      <c r="K375" s="460"/>
      <c r="L375" s="460"/>
    </row>
    <row r="376" ht="15.75" customHeight="1">
      <c r="E376" s="625"/>
      <c r="G376" s="460"/>
      <c r="H376" s="626"/>
      <c r="I376" s="543"/>
      <c r="K376" s="460"/>
      <c r="L376" s="460"/>
    </row>
    <row r="377" ht="15.75" customHeight="1">
      <c r="E377" s="625"/>
      <c r="G377" s="460"/>
      <c r="H377" s="626"/>
      <c r="I377" s="543"/>
      <c r="K377" s="460"/>
      <c r="L377" s="460"/>
    </row>
    <row r="378" ht="15.75" customHeight="1">
      <c r="E378" s="625"/>
      <c r="G378" s="460"/>
      <c r="H378" s="626"/>
      <c r="I378" s="543"/>
      <c r="K378" s="460"/>
      <c r="L378" s="460"/>
    </row>
    <row r="379" ht="15.75" customHeight="1">
      <c r="E379" s="625"/>
      <c r="G379" s="460"/>
      <c r="H379" s="626"/>
      <c r="I379" s="543"/>
      <c r="K379" s="460"/>
      <c r="L379" s="460"/>
    </row>
    <row r="380" ht="15.75" customHeight="1">
      <c r="E380" s="625"/>
      <c r="G380" s="460"/>
      <c r="H380" s="626"/>
      <c r="I380" s="543"/>
      <c r="K380" s="460"/>
      <c r="L380" s="460"/>
    </row>
    <row r="381" ht="15.75" customHeight="1">
      <c r="E381" s="625"/>
      <c r="G381" s="460"/>
      <c r="H381" s="626"/>
      <c r="I381" s="543"/>
      <c r="K381" s="460"/>
      <c r="L381" s="460"/>
    </row>
    <row r="382" ht="15.75" customHeight="1">
      <c r="E382" s="625"/>
      <c r="G382" s="460"/>
      <c r="H382" s="626"/>
      <c r="I382" s="543"/>
      <c r="K382" s="460"/>
      <c r="L382" s="460"/>
    </row>
    <row r="383" ht="15.75" customHeight="1">
      <c r="E383" s="625"/>
      <c r="G383" s="460"/>
      <c r="H383" s="626"/>
      <c r="I383" s="543"/>
      <c r="K383" s="460"/>
      <c r="L383" s="460"/>
    </row>
    <row r="384" ht="15.75" customHeight="1">
      <c r="E384" s="625"/>
      <c r="G384" s="460"/>
      <c r="H384" s="626"/>
      <c r="I384" s="543"/>
      <c r="K384" s="460"/>
      <c r="L384" s="460"/>
    </row>
    <row r="385" ht="15.75" customHeight="1">
      <c r="E385" s="625"/>
      <c r="G385" s="460"/>
      <c r="H385" s="626"/>
      <c r="I385" s="543"/>
      <c r="K385" s="460"/>
      <c r="L385" s="460"/>
    </row>
    <row r="386" ht="15.75" customHeight="1">
      <c r="E386" s="625"/>
      <c r="G386" s="460"/>
      <c r="H386" s="626"/>
      <c r="I386" s="543"/>
      <c r="K386" s="460"/>
      <c r="L386" s="460"/>
    </row>
    <row r="387" ht="15.75" customHeight="1">
      <c r="E387" s="625"/>
      <c r="G387" s="460"/>
      <c r="H387" s="626"/>
      <c r="I387" s="543"/>
      <c r="K387" s="460"/>
      <c r="L387" s="460"/>
    </row>
    <row r="388" ht="15.75" customHeight="1">
      <c r="E388" s="625"/>
      <c r="G388" s="460"/>
      <c r="H388" s="626"/>
      <c r="I388" s="543"/>
      <c r="K388" s="460"/>
      <c r="L388" s="460"/>
    </row>
    <row r="389" ht="15.75" customHeight="1">
      <c r="E389" s="625"/>
      <c r="G389" s="460"/>
      <c r="H389" s="626"/>
      <c r="I389" s="543"/>
      <c r="K389" s="460"/>
      <c r="L389" s="460"/>
    </row>
    <row r="390" ht="15.75" customHeight="1">
      <c r="E390" s="625"/>
      <c r="G390" s="460"/>
      <c r="H390" s="626"/>
      <c r="I390" s="543"/>
      <c r="K390" s="460"/>
      <c r="L390" s="460"/>
    </row>
    <row r="391" ht="15.75" customHeight="1">
      <c r="E391" s="625"/>
      <c r="G391" s="460"/>
      <c r="H391" s="626"/>
      <c r="I391" s="543"/>
      <c r="K391" s="460"/>
      <c r="L391" s="460"/>
    </row>
    <row r="392" ht="15.75" customHeight="1">
      <c r="E392" s="625"/>
      <c r="G392" s="460"/>
      <c r="H392" s="626"/>
      <c r="I392" s="543"/>
      <c r="K392" s="460"/>
      <c r="L392" s="460"/>
    </row>
    <row r="393" ht="15.75" customHeight="1">
      <c r="E393" s="625"/>
      <c r="G393" s="460"/>
      <c r="H393" s="626"/>
      <c r="I393" s="543"/>
      <c r="K393" s="460"/>
      <c r="L393" s="460"/>
    </row>
    <row r="394" ht="15.75" customHeight="1">
      <c r="E394" s="625"/>
      <c r="G394" s="460"/>
      <c r="H394" s="626"/>
      <c r="I394" s="543"/>
      <c r="K394" s="460"/>
      <c r="L394" s="460"/>
    </row>
    <row r="395" ht="15.75" customHeight="1">
      <c r="E395" s="625"/>
      <c r="G395" s="460"/>
      <c r="H395" s="626"/>
      <c r="I395" s="543"/>
      <c r="K395" s="460"/>
      <c r="L395" s="460"/>
    </row>
    <row r="396" ht="15.75" customHeight="1">
      <c r="E396" s="625"/>
      <c r="G396" s="460"/>
      <c r="H396" s="626"/>
      <c r="I396" s="543"/>
      <c r="K396" s="460"/>
      <c r="L396" s="460"/>
    </row>
    <row r="397" ht="15.75" customHeight="1">
      <c r="E397" s="625"/>
      <c r="G397" s="460"/>
      <c r="H397" s="626"/>
      <c r="I397" s="543"/>
      <c r="K397" s="460"/>
      <c r="L397" s="460"/>
    </row>
    <row r="398" ht="15.75" customHeight="1">
      <c r="E398" s="625"/>
      <c r="G398" s="460"/>
      <c r="H398" s="626"/>
      <c r="I398" s="543"/>
      <c r="K398" s="460"/>
      <c r="L398" s="460"/>
    </row>
    <row r="399" ht="15.75" customHeight="1">
      <c r="E399" s="625"/>
      <c r="G399" s="460"/>
      <c r="H399" s="626"/>
      <c r="I399" s="543"/>
      <c r="K399" s="460"/>
      <c r="L399" s="460"/>
    </row>
    <row r="400" ht="15.75" customHeight="1">
      <c r="E400" s="625"/>
      <c r="G400" s="460"/>
      <c r="H400" s="626"/>
      <c r="I400" s="543"/>
      <c r="K400" s="460"/>
      <c r="L400" s="460"/>
    </row>
    <row r="401" ht="15.75" customHeight="1">
      <c r="E401" s="625"/>
      <c r="G401" s="460"/>
      <c r="H401" s="626"/>
      <c r="I401" s="543"/>
      <c r="K401" s="460"/>
      <c r="L401" s="460"/>
    </row>
    <row r="402" ht="15.75" customHeight="1">
      <c r="E402" s="625"/>
      <c r="G402" s="460"/>
      <c r="H402" s="626"/>
      <c r="I402" s="543"/>
      <c r="K402" s="460"/>
      <c r="L402" s="460"/>
    </row>
    <row r="403" ht="15.75" customHeight="1">
      <c r="E403" s="625"/>
      <c r="G403" s="460"/>
      <c r="H403" s="626"/>
      <c r="I403" s="543"/>
      <c r="K403" s="460"/>
      <c r="L403" s="460"/>
    </row>
    <row r="404" ht="15.75" customHeight="1">
      <c r="E404" s="625"/>
      <c r="G404" s="460"/>
      <c r="H404" s="626"/>
      <c r="I404" s="543"/>
      <c r="K404" s="460"/>
      <c r="L404" s="460"/>
    </row>
    <row r="405" ht="15.75" customHeight="1">
      <c r="E405" s="625"/>
      <c r="G405" s="460"/>
      <c r="H405" s="626"/>
      <c r="I405" s="543"/>
      <c r="K405" s="460"/>
      <c r="L405" s="460"/>
    </row>
    <row r="406" ht="15.75" customHeight="1">
      <c r="E406" s="625"/>
      <c r="G406" s="460"/>
      <c r="H406" s="626"/>
      <c r="I406" s="543"/>
      <c r="K406" s="460"/>
      <c r="L406" s="460"/>
    </row>
    <row r="407" ht="15.75" customHeight="1">
      <c r="E407" s="625"/>
      <c r="G407" s="460"/>
      <c r="H407" s="626"/>
      <c r="I407" s="543"/>
      <c r="K407" s="460"/>
      <c r="L407" s="460"/>
    </row>
    <row r="408" ht="15.75" customHeight="1">
      <c r="E408" s="625"/>
      <c r="G408" s="460"/>
      <c r="H408" s="626"/>
      <c r="I408" s="543"/>
      <c r="K408" s="460"/>
      <c r="L408" s="460"/>
    </row>
    <row r="409" ht="15.75" customHeight="1">
      <c r="E409" s="625"/>
      <c r="G409" s="460"/>
      <c r="H409" s="626"/>
      <c r="I409" s="543"/>
      <c r="K409" s="460"/>
      <c r="L409" s="460"/>
    </row>
    <row r="410" ht="15.75" customHeight="1">
      <c r="E410" s="625"/>
      <c r="G410" s="460"/>
      <c r="H410" s="626"/>
      <c r="I410" s="543"/>
      <c r="K410" s="460"/>
      <c r="L410" s="460"/>
    </row>
    <row r="411" ht="15.75" customHeight="1">
      <c r="E411" s="625"/>
      <c r="G411" s="460"/>
      <c r="H411" s="626"/>
      <c r="I411" s="543"/>
      <c r="K411" s="460"/>
      <c r="L411" s="460"/>
    </row>
    <row r="412" ht="15.75" customHeight="1">
      <c r="E412" s="625"/>
      <c r="G412" s="460"/>
      <c r="H412" s="626"/>
      <c r="I412" s="543"/>
      <c r="K412" s="460"/>
      <c r="L412" s="460"/>
    </row>
    <row r="413" ht="15.75" customHeight="1">
      <c r="E413" s="625"/>
      <c r="G413" s="460"/>
      <c r="H413" s="626"/>
      <c r="I413" s="543"/>
      <c r="K413" s="460"/>
      <c r="L413" s="460"/>
    </row>
    <row r="414" ht="15.75" customHeight="1">
      <c r="E414" s="625"/>
      <c r="G414" s="460"/>
      <c r="H414" s="626"/>
      <c r="I414" s="543"/>
      <c r="K414" s="460"/>
      <c r="L414" s="460"/>
    </row>
    <row r="415" ht="15.75" customHeight="1">
      <c r="E415" s="625"/>
      <c r="G415" s="460"/>
      <c r="H415" s="626"/>
      <c r="I415" s="543"/>
      <c r="K415" s="460"/>
      <c r="L415" s="460"/>
    </row>
    <row r="416" ht="15.75" customHeight="1">
      <c r="E416" s="625"/>
      <c r="G416" s="460"/>
      <c r="H416" s="626"/>
      <c r="I416" s="543"/>
      <c r="K416" s="460"/>
      <c r="L416" s="460"/>
    </row>
    <row r="417" ht="15.75" customHeight="1">
      <c r="E417" s="625"/>
      <c r="G417" s="460"/>
      <c r="H417" s="626"/>
      <c r="I417" s="543"/>
      <c r="K417" s="460"/>
      <c r="L417" s="460"/>
    </row>
    <row r="418" ht="15.75" customHeight="1">
      <c r="E418" s="625"/>
      <c r="G418" s="460"/>
      <c r="H418" s="626"/>
      <c r="I418" s="543"/>
      <c r="K418" s="460"/>
      <c r="L418" s="460"/>
    </row>
    <row r="419" ht="15.75" customHeight="1">
      <c r="E419" s="625"/>
      <c r="G419" s="460"/>
      <c r="H419" s="626"/>
      <c r="I419" s="543"/>
      <c r="K419" s="460"/>
      <c r="L419" s="460"/>
    </row>
    <row r="420" ht="15.75" customHeight="1">
      <c r="E420" s="625"/>
      <c r="G420" s="460"/>
      <c r="H420" s="626"/>
      <c r="I420" s="543"/>
      <c r="K420" s="460"/>
      <c r="L420" s="460"/>
    </row>
    <row r="421" ht="15.75" customHeight="1">
      <c r="E421" s="625"/>
      <c r="G421" s="460"/>
      <c r="H421" s="626"/>
      <c r="I421" s="543"/>
      <c r="K421" s="460"/>
      <c r="L421" s="460"/>
    </row>
    <row r="422" ht="15.75" customHeight="1">
      <c r="E422" s="625"/>
      <c r="G422" s="460"/>
      <c r="H422" s="626"/>
      <c r="I422" s="543"/>
      <c r="K422" s="460"/>
      <c r="L422" s="460"/>
    </row>
    <row r="423" ht="15.75" customHeight="1">
      <c r="E423" s="625"/>
      <c r="G423" s="460"/>
      <c r="H423" s="626"/>
      <c r="I423" s="543"/>
      <c r="K423" s="460"/>
      <c r="L423" s="460"/>
    </row>
    <row r="424" ht="15.75" customHeight="1">
      <c r="E424" s="625"/>
      <c r="G424" s="460"/>
      <c r="H424" s="626"/>
      <c r="I424" s="543"/>
      <c r="K424" s="460"/>
      <c r="L424" s="460"/>
    </row>
    <row r="425" ht="15.75" customHeight="1">
      <c r="E425" s="625"/>
      <c r="G425" s="460"/>
      <c r="H425" s="626"/>
      <c r="I425" s="543"/>
      <c r="K425" s="460"/>
      <c r="L425" s="460"/>
    </row>
    <row r="426" ht="15.75" customHeight="1">
      <c r="E426" s="625"/>
      <c r="G426" s="460"/>
      <c r="H426" s="626"/>
      <c r="I426" s="543"/>
      <c r="K426" s="460"/>
      <c r="L426" s="460"/>
    </row>
    <row r="427" ht="15.75" customHeight="1">
      <c r="E427" s="625"/>
      <c r="G427" s="460"/>
      <c r="H427" s="626"/>
      <c r="I427" s="543"/>
      <c r="K427" s="460"/>
      <c r="L427" s="460"/>
    </row>
    <row r="428" ht="15.75" customHeight="1">
      <c r="E428" s="625"/>
      <c r="G428" s="460"/>
      <c r="H428" s="626"/>
      <c r="I428" s="543"/>
      <c r="K428" s="460"/>
      <c r="L428" s="460"/>
    </row>
    <row r="429" ht="15.75" customHeight="1">
      <c r="E429" s="625"/>
      <c r="G429" s="460"/>
      <c r="H429" s="626"/>
      <c r="I429" s="543"/>
      <c r="K429" s="460"/>
      <c r="L429" s="460"/>
    </row>
    <row r="430" ht="15.75" customHeight="1">
      <c r="E430" s="625"/>
      <c r="G430" s="460"/>
      <c r="H430" s="626"/>
      <c r="I430" s="543"/>
      <c r="K430" s="460"/>
      <c r="L430" s="460"/>
    </row>
    <row r="431" ht="15.75" customHeight="1">
      <c r="E431" s="625"/>
      <c r="G431" s="460"/>
      <c r="H431" s="626"/>
      <c r="I431" s="543"/>
      <c r="K431" s="460"/>
      <c r="L431" s="460"/>
    </row>
    <row r="432" ht="15.75" customHeight="1">
      <c r="E432" s="625"/>
      <c r="G432" s="460"/>
      <c r="H432" s="626"/>
      <c r="I432" s="543"/>
      <c r="K432" s="460"/>
      <c r="L432" s="460"/>
    </row>
    <row r="433" ht="15.75" customHeight="1">
      <c r="E433" s="625"/>
      <c r="G433" s="460"/>
      <c r="H433" s="626"/>
      <c r="I433" s="543"/>
      <c r="K433" s="460"/>
      <c r="L433" s="460"/>
    </row>
    <row r="434" ht="15.75" customHeight="1">
      <c r="E434" s="625"/>
      <c r="G434" s="460"/>
      <c r="H434" s="626"/>
      <c r="I434" s="543"/>
      <c r="K434" s="460"/>
      <c r="L434" s="460"/>
    </row>
    <row r="435" ht="15.75" customHeight="1">
      <c r="E435" s="625"/>
      <c r="G435" s="460"/>
      <c r="H435" s="626"/>
      <c r="I435" s="543"/>
      <c r="K435" s="460"/>
      <c r="L435" s="460"/>
    </row>
    <row r="436" ht="15.75" customHeight="1">
      <c r="E436" s="625"/>
      <c r="G436" s="460"/>
      <c r="H436" s="626"/>
      <c r="I436" s="543"/>
      <c r="K436" s="460"/>
      <c r="L436" s="460"/>
    </row>
    <row r="437" ht="15.75" customHeight="1">
      <c r="E437" s="625"/>
      <c r="G437" s="460"/>
      <c r="H437" s="626"/>
      <c r="I437" s="543"/>
      <c r="K437" s="460"/>
      <c r="L437" s="460"/>
    </row>
    <row r="438" ht="15.75" customHeight="1">
      <c r="E438" s="625"/>
      <c r="G438" s="460"/>
      <c r="H438" s="626"/>
      <c r="I438" s="543"/>
      <c r="K438" s="460"/>
      <c r="L438" s="460"/>
    </row>
    <row r="439" ht="15.75" customHeight="1">
      <c r="E439" s="625"/>
      <c r="G439" s="460"/>
      <c r="H439" s="626"/>
      <c r="I439" s="543"/>
      <c r="K439" s="460"/>
      <c r="L439" s="460"/>
    </row>
    <row r="440" ht="15.75" customHeight="1">
      <c r="E440" s="625"/>
      <c r="G440" s="460"/>
      <c r="H440" s="626"/>
      <c r="I440" s="543"/>
      <c r="K440" s="460"/>
      <c r="L440" s="460"/>
    </row>
    <row r="441" ht="15.75" customHeight="1">
      <c r="E441" s="625"/>
      <c r="G441" s="460"/>
      <c r="H441" s="626"/>
      <c r="I441" s="543"/>
      <c r="K441" s="460"/>
      <c r="L441" s="460"/>
    </row>
    <row r="442" ht="15.75" customHeight="1">
      <c r="E442" s="625"/>
      <c r="G442" s="460"/>
      <c r="H442" s="626"/>
      <c r="I442" s="543"/>
      <c r="K442" s="460"/>
      <c r="L442" s="460"/>
    </row>
    <row r="443" ht="15.75" customHeight="1">
      <c r="E443" s="625"/>
      <c r="G443" s="460"/>
      <c r="H443" s="626"/>
      <c r="I443" s="543"/>
      <c r="K443" s="460"/>
      <c r="L443" s="460"/>
    </row>
    <row r="444" ht="15.75" customHeight="1">
      <c r="E444" s="625"/>
      <c r="G444" s="460"/>
      <c r="H444" s="626"/>
      <c r="I444" s="543"/>
      <c r="K444" s="460"/>
      <c r="L444" s="460"/>
    </row>
    <row r="445" ht="15.75" customHeight="1">
      <c r="E445" s="625"/>
      <c r="G445" s="460"/>
      <c r="H445" s="626"/>
      <c r="I445" s="543"/>
      <c r="K445" s="460"/>
      <c r="L445" s="460"/>
    </row>
    <row r="446" ht="15.75" customHeight="1">
      <c r="E446" s="625"/>
      <c r="G446" s="460"/>
      <c r="H446" s="626"/>
      <c r="I446" s="543"/>
      <c r="K446" s="460"/>
      <c r="L446" s="460"/>
    </row>
    <row r="447" ht="15.75" customHeight="1">
      <c r="E447" s="625"/>
      <c r="G447" s="460"/>
      <c r="H447" s="626"/>
      <c r="I447" s="543"/>
      <c r="K447" s="460"/>
      <c r="L447" s="460"/>
    </row>
    <row r="448" ht="15.75" customHeight="1">
      <c r="E448" s="625"/>
      <c r="G448" s="460"/>
      <c r="H448" s="626"/>
      <c r="I448" s="543"/>
      <c r="K448" s="460"/>
      <c r="L448" s="460"/>
    </row>
    <row r="449" ht="15.75" customHeight="1">
      <c r="E449" s="625"/>
      <c r="G449" s="460"/>
      <c r="H449" s="626"/>
      <c r="I449" s="543"/>
      <c r="K449" s="460"/>
      <c r="L449" s="460"/>
    </row>
    <row r="450" ht="15.75" customHeight="1">
      <c r="E450" s="625"/>
      <c r="G450" s="460"/>
      <c r="H450" s="626"/>
      <c r="I450" s="543"/>
      <c r="K450" s="460"/>
      <c r="L450" s="460"/>
    </row>
    <row r="451" ht="15.75" customHeight="1">
      <c r="E451" s="625"/>
      <c r="G451" s="460"/>
      <c r="H451" s="626"/>
      <c r="I451" s="543"/>
      <c r="K451" s="460"/>
      <c r="L451" s="460"/>
    </row>
    <row r="452" ht="15.75" customHeight="1">
      <c r="E452" s="625"/>
      <c r="G452" s="460"/>
      <c r="H452" s="626"/>
      <c r="I452" s="543"/>
      <c r="K452" s="460"/>
      <c r="L452" s="460"/>
    </row>
    <row r="453" ht="15.75" customHeight="1">
      <c r="E453" s="625"/>
      <c r="G453" s="460"/>
      <c r="H453" s="626"/>
      <c r="I453" s="543"/>
      <c r="K453" s="460"/>
      <c r="L453" s="460"/>
    </row>
    <row r="454" ht="15.75" customHeight="1">
      <c r="E454" s="625"/>
      <c r="G454" s="460"/>
      <c r="H454" s="626"/>
      <c r="I454" s="543"/>
      <c r="K454" s="460"/>
      <c r="L454" s="460"/>
    </row>
    <row r="455" ht="15.75" customHeight="1">
      <c r="E455" s="625"/>
      <c r="G455" s="460"/>
      <c r="H455" s="626"/>
      <c r="I455" s="543"/>
      <c r="K455" s="460"/>
      <c r="L455" s="460"/>
    </row>
    <row r="456" ht="15.75" customHeight="1">
      <c r="E456" s="625"/>
      <c r="G456" s="460"/>
      <c r="H456" s="626"/>
      <c r="I456" s="543"/>
      <c r="K456" s="460"/>
      <c r="L456" s="460"/>
    </row>
    <row r="457" ht="15.75" customHeight="1">
      <c r="E457" s="625"/>
      <c r="G457" s="460"/>
      <c r="H457" s="626"/>
      <c r="I457" s="543"/>
      <c r="K457" s="460"/>
      <c r="L457" s="460"/>
    </row>
    <row r="458" ht="15.75" customHeight="1">
      <c r="E458" s="625"/>
      <c r="G458" s="460"/>
      <c r="H458" s="626"/>
      <c r="I458" s="543"/>
      <c r="K458" s="460"/>
      <c r="L458" s="460"/>
    </row>
    <row r="459" ht="15.75" customHeight="1">
      <c r="E459" s="625"/>
      <c r="G459" s="460"/>
      <c r="H459" s="626"/>
      <c r="I459" s="543"/>
      <c r="K459" s="460"/>
      <c r="L459" s="460"/>
    </row>
    <row r="460" ht="15.75" customHeight="1">
      <c r="E460" s="625"/>
      <c r="G460" s="460"/>
      <c r="H460" s="626"/>
      <c r="I460" s="543"/>
      <c r="K460" s="460"/>
      <c r="L460" s="460"/>
    </row>
    <row r="461" ht="15.75" customHeight="1">
      <c r="E461" s="625"/>
      <c r="G461" s="460"/>
      <c r="H461" s="626"/>
      <c r="I461" s="543"/>
      <c r="K461" s="460"/>
      <c r="L461" s="460"/>
    </row>
    <row r="462" ht="15.75" customHeight="1">
      <c r="E462" s="625"/>
      <c r="G462" s="460"/>
      <c r="H462" s="626"/>
      <c r="I462" s="543"/>
      <c r="K462" s="460"/>
      <c r="L462" s="460"/>
    </row>
    <row r="463" ht="15.75" customHeight="1">
      <c r="E463" s="625"/>
      <c r="G463" s="460"/>
      <c r="H463" s="626"/>
      <c r="I463" s="543"/>
      <c r="K463" s="460"/>
      <c r="L463" s="460"/>
    </row>
    <row r="464" ht="15.75" customHeight="1">
      <c r="E464" s="625"/>
      <c r="G464" s="460"/>
      <c r="H464" s="626"/>
      <c r="I464" s="543"/>
      <c r="K464" s="460"/>
      <c r="L464" s="460"/>
    </row>
    <row r="465" ht="15.75" customHeight="1">
      <c r="E465" s="625"/>
      <c r="G465" s="460"/>
      <c r="H465" s="626"/>
      <c r="I465" s="543"/>
      <c r="K465" s="460"/>
      <c r="L465" s="460"/>
    </row>
    <row r="466" ht="15.75" customHeight="1">
      <c r="E466" s="625"/>
      <c r="G466" s="460"/>
      <c r="H466" s="626"/>
      <c r="I466" s="543"/>
      <c r="K466" s="460"/>
      <c r="L466" s="460"/>
    </row>
    <row r="467" ht="15.75" customHeight="1">
      <c r="E467" s="625"/>
      <c r="G467" s="460"/>
      <c r="H467" s="626"/>
      <c r="I467" s="543"/>
      <c r="K467" s="460"/>
      <c r="L467" s="460"/>
    </row>
    <row r="468" ht="15.75" customHeight="1">
      <c r="E468" s="625"/>
      <c r="G468" s="460"/>
      <c r="H468" s="626"/>
      <c r="I468" s="543"/>
      <c r="K468" s="460"/>
      <c r="L468" s="460"/>
    </row>
    <row r="469" ht="15.75" customHeight="1">
      <c r="E469" s="625"/>
      <c r="G469" s="460"/>
      <c r="H469" s="626"/>
      <c r="I469" s="543"/>
      <c r="K469" s="460"/>
      <c r="L469" s="460"/>
    </row>
    <row r="470" ht="15.75" customHeight="1">
      <c r="E470" s="625"/>
      <c r="G470" s="460"/>
      <c r="H470" s="626"/>
      <c r="I470" s="543"/>
      <c r="K470" s="460"/>
      <c r="L470" s="460"/>
    </row>
    <row r="471" ht="15.75" customHeight="1">
      <c r="E471" s="625"/>
      <c r="G471" s="460"/>
      <c r="H471" s="626"/>
      <c r="I471" s="543"/>
      <c r="K471" s="460"/>
      <c r="L471" s="460"/>
    </row>
    <row r="472" ht="15.75" customHeight="1">
      <c r="E472" s="625"/>
      <c r="G472" s="460"/>
      <c r="H472" s="626"/>
      <c r="I472" s="543"/>
      <c r="K472" s="460"/>
      <c r="L472" s="460"/>
    </row>
    <row r="473" ht="15.75" customHeight="1">
      <c r="E473" s="625"/>
      <c r="G473" s="460"/>
      <c r="H473" s="626"/>
      <c r="I473" s="543"/>
      <c r="K473" s="460"/>
      <c r="L473" s="460"/>
    </row>
    <row r="474" ht="15.75" customHeight="1">
      <c r="E474" s="625"/>
      <c r="G474" s="460"/>
      <c r="H474" s="626"/>
      <c r="I474" s="543"/>
      <c r="K474" s="460"/>
      <c r="L474" s="460"/>
    </row>
    <row r="475" ht="15.75" customHeight="1">
      <c r="E475" s="625"/>
      <c r="G475" s="460"/>
      <c r="H475" s="626"/>
      <c r="I475" s="543"/>
      <c r="K475" s="460"/>
      <c r="L475" s="460"/>
    </row>
    <row r="476" ht="15.75" customHeight="1">
      <c r="E476" s="625"/>
      <c r="G476" s="460"/>
      <c r="H476" s="626"/>
      <c r="I476" s="543"/>
      <c r="K476" s="460"/>
      <c r="L476" s="460"/>
    </row>
    <row r="477" ht="15.75" customHeight="1">
      <c r="E477" s="625"/>
      <c r="G477" s="460"/>
      <c r="H477" s="626"/>
      <c r="I477" s="543"/>
      <c r="K477" s="460"/>
      <c r="L477" s="460"/>
    </row>
    <row r="478" ht="15.75" customHeight="1">
      <c r="E478" s="625"/>
      <c r="G478" s="460"/>
      <c r="H478" s="626"/>
      <c r="I478" s="543"/>
      <c r="K478" s="460"/>
      <c r="L478" s="460"/>
    </row>
    <row r="479" ht="15.75" customHeight="1">
      <c r="E479" s="625"/>
      <c r="G479" s="460"/>
      <c r="H479" s="626"/>
      <c r="I479" s="543"/>
      <c r="K479" s="460"/>
      <c r="L479" s="460"/>
    </row>
    <row r="480" ht="15.75" customHeight="1">
      <c r="E480" s="625"/>
      <c r="G480" s="460"/>
      <c r="H480" s="626"/>
      <c r="I480" s="543"/>
      <c r="K480" s="460"/>
      <c r="L480" s="460"/>
    </row>
    <row r="481" ht="15.75" customHeight="1">
      <c r="E481" s="625"/>
      <c r="G481" s="460"/>
      <c r="H481" s="626"/>
      <c r="I481" s="543"/>
      <c r="K481" s="460"/>
      <c r="L481" s="460"/>
    </row>
    <row r="482" ht="15.75" customHeight="1">
      <c r="E482" s="625"/>
      <c r="G482" s="460"/>
      <c r="H482" s="626"/>
      <c r="I482" s="543"/>
      <c r="K482" s="460"/>
      <c r="L482" s="460"/>
    </row>
    <row r="483" ht="15.75" customHeight="1">
      <c r="E483" s="625"/>
      <c r="G483" s="460"/>
      <c r="H483" s="626"/>
      <c r="I483" s="543"/>
      <c r="K483" s="460"/>
      <c r="L483" s="460"/>
    </row>
    <row r="484" ht="15.75" customHeight="1">
      <c r="E484" s="625"/>
      <c r="G484" s="460"/>
      <c r="H484" s="626"/>
      <c r="I484" s="543"/>
      <c r="K484" s="460"/>
      <c r="L484" s="460"/>
    </row>
    <row r="485" ht="15.75" customHeight="1">
      <c r="E485" s="625"/>
      <c r="G485" s="460"/>
      <c r="H485" s="626"/>
      <c r="I485" s="543"/>
      <c r="K485" s="460"/>
      <c r="L485" s="460"/>
    </row>
    <row r="486" ht="15.75" customHeight="1">
      <c r="E486" s="625"/>
      <c r="G486" s="460"/>
      <c r="H486" s="626"/>
      <c r="I486" s="543"/>
      <c r="K486" s="460"/>
      <c r="L486" s="460"/>
    </row>
    <row r="487" ht="15.75" customHeight="1">
      <c r="E487" s="625"/>
      <c r="G487" s="460"/>
      <c r="H487" s="626"/>
      <c r="I487" s="543"/>
      <c r="K487" s="460"/>
      <c r="L487" s="460"/>
    </row>
    <row r="488" ht="15.75" customHeight="1">
      <c r="E488" s="625"/>
      <c r="G488" s="460"/>
      <c r="H488" s="626"/>
      <c r="I488" s="543"/>
      <c r="K488" s="460"/>
      <c r="L488" s="460"/>
    </row>
    <row r="489" ht="15.75" customHeight="1">
      <c r="E489" s="625"/>
      <c r="G489" s="460"/>
      <c r="H489" s="626"/>
      <c r="I489" s="543"/>
      <c r="K489" s="460"/>
      <c r="L489" s="460"/>
    </row>
    <row r="490" ht="15.75" customHeight="1">
      <c r="E490" s="625"/>
      <c r="G490" s="460"/>
      <c r="H490" s="626"/>
      <c r="I490" s="543"/>
      <c r="K490" s="460"/>
      <c r="L490" s="460"/>
    </row>
    <row r="491" ht="15.75" customHeight="1">
      <c r="E491" s="625"/>
      <c r="G491" s="460"/>
      <c r="H491" s="626"/>
      <c r="I491" s="543"/>
      <c r="K491" s="460"/>
      <c r="L491" s="460"/>
    </row>
    <row r="492" ht="15.75" customHeight="1">
      <c r="E492" s="625"/>
      <c r="G492" s="460"/>
      <c r="H492" s="626"/>
      <c r="I492" s="543"/>
      <c r="K492" s="460"/>
      <c r="L492" s="460"/>
    </row>
    <row r="493" ht="15.75" customHeight="1">
      <c r="E493" s="625"/>
      <c r="G493" s="460"/>
      <c r="H493" s="626"/>
      <c r="I493" s="543"/>
      <c r="K493" s="460"/>
      <c r="L493" s="460"/>
    </row>
    <row r="494" ht="15.75" customHeight="1">
      <c r="E494" s="625"/>
      <c r="G494" s="460"/>
      <c r="H494" s="626"/>
      <c r="I494" s="543"/>
      <c r="K494" s="460"/>
      <c r="L494" s="460"/>
    </row>
    <row r="495" ht="15.75" customHeight="1">
      <c r="E495" s="625"/>
      <c r="G495" s="460"/>
      <c r="H495" s="626"/>
      <c r="I495" s="543"/>
      <c r="K495" s="460"/>
      <c r="L495" s="460"/>
    </row>
    <row r="496" ht="15.75" customHeight="1">
      <c r="E496" s="625"/>
      <c r="G496" s="460"/>
      <c r="H496" s="626"/>
      <c r="I496" s="543"/>
      <c r="K496" s="460"/>
      <c r="L496" s="460"/>
    </row>
    <row r="497" ht="15.75" customHeight="1">
      <c r="E497" s="625"/>
      <c r="G497" s="460"/>
      <c r="H497" s="626"/>
      <c r="I497" s="543"/>
      <c r="K497" s="460"/>
      <c r="L497" s="460"/>
    </row>
    <row r="498" ht="15.75" customHeight="1">
      <c r="E498" s="625"/>
      <c r="G498" s="460"/>
      <c r="H498" s="626"/>
      <c r="I498" s="543"/>
      <c r="K498" s="460"/>
      <c r="L498" s="460"/>
    </row>
    <row r="499" ht="15.75" customHeight="1">
      <c r="E499" s="625"/>
      <c r="G499" s="460"/>
      <c r="H499" s="626"/>
      <c r="I499" s="543"/>
      <c r="K499" s="460"/>
      <c r="L499" s="460"/>
    </row>
    <row r="500" ht="15.75" customHeight="1">
      <c r="E500" s="625"/>
      <c r="G500" s="460"/>
      <c r="H500" s="626"/>
      <c r="I500" s="543"/>
      <c r="K500" s="460"/>
      <c r="L500" s="460"/>
    </row>
    <row r="501" ht="15.75" customHeight="1">
      <c r="E501" s="625"/>
      <c r="G501" s="460"/>
      <c r="H501" s="626"/>
      <c r="I501" s="543"/>
      <c r="K501" s="460"/>
      <c r="L501" s="460"/>
    </row>
    <row r="502" ht="15.75" customHeight="1">
      <c r="E502" s="625"/>
      <c r="G502" s="460"/>
      <c r="H502" s="626"/>
      <c r="I502" s="543"/>
      <c r="K502" s="460"/>
      <c r="L502" s="460"/>
    </row>
    <row r="503" ht="15.75" customHeight="1">
      <c r="E503" s="625"/>
      <c r="G503" s="460"/>
      <c r="H503" s="626"/>
      <c r="I503" s="543"/>
      <c r="K503" s="460"/>
      <c r="L503" s="460"/>
    </row>
    <row r="504" ht="15.75" customHeight="1">
      <c r="E504" s="625"/>
      <c r="G504" s="460"/>
      <c r="H504" s="626"/>
      <c r="I504" s="543"/>
      <c r="K504" s="460"/>
      <c r="L504" s="460"/>
    </row>
    <row r="505" ht="15.75" customHeight="1">
      <c r="E505" s="625"/>
      <c r="G505" s="460"/>
      <c r="H505" s="626"/>
      <c r="I505" s="543"/>
      <c r="K505" s="460"/>
      <c r="L505" s="460"/>
    </row>
    <row r="506" ht="15.75" customHeight="1">
      <c r="E506" s="625"/>
      <c r="G506" s="460"/>
      <c r="H506" s="626"/>
      <c r="I506" s="543"/>
      <c r="K506" s="460"/>
      <c r="L506" s="460"/>
    </row>
    <row r="507" ht="15.75" customHeight="1">
      <c r="E507" s="625"/>
      <c r="G507" s="460"/>
      <c r="H507" s="626"/>
      <c r="I507" s="543"/>
      <c r="K507" s="460"/>
      <c r="L507" s="460"/>
    </row>
    <row r="508" ht="15.75" customHeight="1">
      <c r="E508" s="625"/>
      <c r="G508" s="460"/>
      <c r="H508" s="626"/>
      <c r="I508" s="543"/>
      <c r="K508" s="460"/>
      <c r="L508" s="460"/>
    </row>
    <row r="509" ht="15.75" customHeight="1">
      <c r="E509" s="625"/>
      <c r="G509" s="460"/>
      <c r="H509" s="626"/>
      <c r="I509" s="543"/>
      <c r="K509" s="460"/>
      <c r="L509" s="460"/>
    </row>
    <row r="510" ht="15.75" customHeight="1">
      <c r="E510" s="625"/>
      <c r="G510" s="460"/>
      <c r="H510" s="626"/>
      <c r="I510" s="543"/>
      <c r="K510" s="460"/>
      <c r="L510" s="460"/>
    </row>
    <row r="511" ht="15.75" customHeight="1">
      <c r="E511" s="625"/>
      <c r="G511" s="460"/>
      <c r="H511" s="626"/>
      <c r="I511" s="543"/>
      <c r="K511" s="460"/>
      <c r="L511" s="460"/>
    </row>
    <row r="512" ht="15.75" customHeight="1">
      <c r="E512" s="625"/>
      <c r="G512" s="460"/>
      <c r="H512" s="626"/>
      <c r="I512" s="543"/>
      <c r="K512" s="460"/>
      <c r="L512" s="460"/>
    </row>
    <row r="513" ht="15.75" customHeight="1">
      <c r="E513" s="625"/>
      <c r="G513" s="460"/>
      <c r="H513" s="626"/>
      <c r="I513" s="543"/>
      <c r="K513" s="460"/>
      <c r="L513" s="460"/>
    </row>
    <row r="514" ht="15.75" customHeight="1">
      <c r="E514" s="625"/>
      <c r="G514" s="460"/>
      <c r="H514" s="626"/>
      <c r="I514" s="543"/>
      <c r="K514" s="460"/>
      <c r="L514" s="460"/>
    </row>
    <row r="515" ht="15.75" customHeight="1">
      <c r="E515" s="625"/>
      <c r="G515" s="460"/>
      <c r="H515" s="626"/>
      <c r="I515" s="543"/>
      <c r="K515" s="460"/>
      <c r="L515" s="460"/>
    </row>
    <row r="516" ht="15.75" customHeight="1">
      <c r="E516" s="625"/>
      <c r="G516" s="460"/>
      <c r="H516" s="626"/>
      <c r="I516" s="543"/>
      <c r="K516" s="460"/>
      <c r="L516" s="460"/>
    </row>
    <row r="517" ht="15.75" customHeight="1">
      <c r="E517" s="625"/>
      <c r="G517" s="460"/>
      <c r="H517" s="626"/>
      <c r="I517" s="543"/>
      <c r="K517" s="460"/>
      <c r="L517" s="460"/>
    </row>
    <row r="518" ht="15.75" customHeight="1">
      <c r="E518" s="625"/>
      <c r="G518" s="460"/>
      <c r="H518" s="626"/>
      <c r="I518" s="543"/>
      <c r="K518" s="460"/>
      <c r="L518" s="460"/>
    </row>
    <row r="519" ht="15.75" customHeight="1">
      <c r="E519" s="625"/>
      <c r="G519" s="460"/>
      <c r="H519" s="626"/>
      <c r="I519" s="543"/>
      <c r="K519" s="460"/>
      <c r="L519" s="460"/>
    </row>
    <row r="520" ht="15.75" customHeight="1">
      <c r="E520" s="625"/>
      <c r="G520" s="460"/>
      <c r="H520" s="626"/>
      <c r="I520" s="543"/>
      <c r="K520" s="460"/>
      <c r="L520" s="460"/>
    </row>
    <row r="521" ht="15.75" customHeight="1">
      <c r="E521" s="625"/>
      <c r="G521" s="460"/>
      <c r="H521" s="626"/>
      <c r="I521" s="543"/>
      <c r="K521" s="460"/>
      <c r="L521" s="460"/>
    </row>
    <row r="522" ht="15.75" customHeight="1">
      <c r="E522" s="625"/>
      <c r="G522" s="460"/>
      <c r="H522" s="626"/>
      <c r="I522" s="543"/>
      <c r="K522" s="460"/>
      <c r="L522" s="460"/>
    </row>
    <row r="523" ht="15.75" customHeight="1">
      <c r="E523" s="625"/>
      <c r="G523" s="460"/>
      <c r="H523" s="626"/>
      <c r="I523" s="543"/>
      <c r="K523" s="460"/>
      <c r="L523" s="460"/>
    </row>
    <row r="524" ht="15.75" customHeight="1">
      <c r="E524" s="625"/>
      <c r="G524" s="460"/>
      <c r="H524" s="626"/>
      <c r="I524" s="543"/>
      <c r="K524" s="460"/>
      <c r="L524" s="460"/>
    </row>
    <row r="525" ht="15.75" customHeight="1">
      <c r="E525" s="625"/>
      <c r="G525" s="460"/>
      <c r="H525" s="626"/>
      <c r="I525" s="543"/>
      <c r="K525" s="460"/>
      <c r="L525" s="460"/>
    </row>
    <row r="526" ht="15.75" customHeight="1">
      <c r="E526" s="625"/>
      <c r="G526" s="460"/>
      <c r="H526" s="626"/>
      <c r="I526" s="543"/>
      <c r="K526" s="460"/>
      <c r="L526" s="460"/>
    </row>
    <row r="527" ht="15.75" customHeight="1">
      <c r="E527" s="625"/>
      <c r="G527" s="460"/>
      <c r="H527" s="626"/>
      <c r="I527" s="543"/>
      <c r="K527" s="460"/>
      <c r="L527" s="460"/>
    </row>
    <row r="528" ht="15.75" customHeight="1">
      <c r="E528" s="625"/>
      <c r="G528" s="460"/>
      <c r="H528" s="626"/>
      <c r="I528" s="543"/>
      <c r="K528" s="460"/>
      <c r="L528" s="460"/>
    </row>
    <row r="529" ht="15.75" customHeight="1">
      <c r="E529" s="625"/>
      <c r="G529" s="460"/>
      <c r="H529" s="626"/>
      <c r="I529" s="543"/>
      <c r="K529" s="460"/>
      <c r="L529" s="460"/>
    </row>
    <row r="530" ht="15.75" customHeight="1">
      <c r="E530" s="625"/>
      <c r="G530" s="460"/>
      <c r="H530" s="626"/>
      <c r="I530" s="543"/>
      <c r="K530" s="460"/>
      <c r="L530" s="460"/>
    </row>
    <row r="531" ht="15.75" customHeight="1">
      <c r="E531" s="625"/>
      <c r="G531" s="460"/>
      <c r="H531" s="626"/>
      <c r="I531" s="543"/>
      <c r="K531" s="460"/>
      <c r="L531" s="460"/>
    </row>
    <row r="532" ht="15.75" customHeight="1">
      <c r="E532" s="625"/>
      <c r="G532" s="460"/>
      <c r="H532" s="626"/>
      <c r="I532" s="543"/>
      <c r="K532" s="460"/>
      <c r="L532" s="460"/>
    </row>
    <row r="533" ht="15.75" customHeight="1">
      <c r="E533" s="625"/>
      <c r="G533" s="460"/>
      <c r="H533" s="626"/>
      <c r="I533" s="543"/>
      <c r="K533" s="460"/>
      <c r="L533" s="460"/>
    </row>
    <row r="534" ht="15.75" customHeight="1">
      <c r="E534" s="625"/>
      <c r="G534" s="460"/>
      <c r="H534" s="626"/>
      <c r="I534" s="543"/>
      <c r="K534" s="460"/>
      <c r="L534" s="460"/>
    </row>
    <row r="535" ht="15.75" customHeight="1">
      <c r="E535" s="625"/>
      <c r="G535" s="460"/>
      <c r="H535" s="626"/>
      <c r="I535" s="543"/>
      <c r="K535" s="460"/>
      <c r="L535" s="460"/>
    </row>
    <row r="536" ht="15.75" customHeight="1">
      <c r="E536" s="625"/>
      <c r="G536" s="460"/>
      <c r="H536" s="626"/>
      <c r="I536" s="543"/>
      <c r="K536" s="460"/>
      <c r="L536" s="460"/>
    </row>
    <row r="537" ht="15.75" customHeight="1">
      <c r="E537" s="625"/>
      <c r="G537" s="460"/>
      <c r="H537" s="626"/>
      <c r="I537" s="543"/>
      <c r="K537" s="460"/>
      <c r="L537" s="460"/>
    </row>
    <row r="538" ht="15.75" customHeight="1">
      <c r="E538" s="625"/>
      <c r="G538" s="460"/>
      <c r="H538" s="626"/>
      <c r="I538" s="543"/>
      <c r="K538" s="460"/>
      <c r="L538" s="460"/>
    </row>
    <row r="539" ht="15.75" customHeight="1">
      <c r="E539" s="625"/>
      <c r="G539" s="460"/>
      <c r="H539" s="626"/>
      <c r="I539" s="543"/>
      <c r="K539" s="460"/>
      <c r="L539" s="460"/>
    </row>
    <row r="540" ht="15.75" customHeight="1">
      <c r="E540" s="625"/>
      <c r="G540" s="460"/>
      <c r="H540" s="626"/>
      <c r="I540" s="543"/>
      <c r="K540" s="460"/>
      <c r="L540" s="460"/>
    </row>
    <row r="541" ht="15.75" customHeight="1">
      <c r="E541" s="625"/>
      <c r="G541" s="460"/>
      <c r="H541" s="626"/>
      <c r="I541" s="543"/>
      <c r="K541" s="460"/>
      <c r="L541" s="460"/>
    </row>
    <row r="542" ht="15.75" customHeight="1">
      <c r="E542" s="625"/>
      <c r="G542" s="460"/>
      <c r="H542" s="626"/>
      <c r="I542" s="543"/>
      <c r="K542" s="460"/>
      <c r="L542" s="460"/>
    </row>
    <row r="543" ht="15.75" customHeight="1">
      <c r="E543" s="625"/>
      <c r="G543" s="460"/>
      <c r="H543" s="626"/>
      <c r="I543" s="543"/>
      <c r="K543" s="460"/>
      <c r="L543" s="460"/>
    </row>
    <row r="544" ht="15.75" customHeight="1">
      <c r="E544" s="625"/>
      <c r="G544" s="460"/>
      <c r="H544" s="626"/>
      <c r="I544" s="543"/>
      <c r="K544" s="460"/>
      <c r="L544" s="460"/>
    </row>
    <row r="545" ht="15.75" customHeight="1">
      <c r="E545" s="625"/>
      <c r="G545" s="460"/>
      <c r="H545" s="626"/>
      <c r="I545" s="543"/>
      <c r="K545" s="460"/>
      <c r="L545" s="460"/>
    </row>
    <row r="546" ht="15.75" customHeight="1">
      <c r="E546" s="625"/>
      <c r="G546" s="460"/>
      <c r="H546" s="626"/>
      <c r="I546" s="543"/>
      <c r="K546" s="460"/>
      <c r="L546" s="460"/>
    </row>
    <row r="547" ht="15.75" customHeight="1">
      <c r="E547" s="625"/>
      <c r="G547" s="460"/>
      <c r="H547" s="626"/>
      <c r="I547" s="543"/>
      <c r="K547" s="460"/>
      <c r="L547" s="460"/>
    </row>
    <row r="548" ht="15.75" customHeight="1">
      <c r="E548" s="625"/>
      <c r="G548" s="460"/>
      <c r="H548" s="626"/>
      <c r="I548" s="543"/>
      <c r="K548" s="460"/>
      <c r="L548" s="460"/>
    </row>
    <row r="549" ht="15.75" customHeight="1">
      <c r="E549" s="625"/>
      <c r="G549" s="460"/>
      <c r="H549" s="626"/>
      <c r="I549" s="543"/>
      <c r="K549" s="460"/>
      <c r="L549" s="460"/>
    </row>
    <row r="550" ht="15.75" customHeight="1">
      <c r="E550" s="625"/>
      <c r="G550" s="460"/>
      <c r="H550" s="626"/>
      <c r="I550" s="543"/>
      <c r="K550" s="460"/>
      <c r="L550" s="460"/>
    </row>
    <row r="551" ht="15.75" customHeight="1">
      <c r="E551" s="625"/>
      <c r="G551" s="460"/>
      <c r="H551" s="626"/>
      <c r="I551" s="543"/>
      <c r="K551" s="460"/>
      <c r="L551" s="460"/>
    </row>
    <row r="552" ht="15.75" customHeight="1">
      <c r="E552" s="625"/>
      <c r="G552" s="460"/>
      <c r="H552" s="626"/>
      <c r="I552" s="543"/>
      <c r="K552" s="460"/>
      <c r="L552" s="460"/>
    </row>
    <row r="553" ht="15.75" customHeight="1">
      <c r="E553" s="625"/>
      <c r="G553" s="460"/>
      <c r="H553" s="626"/>
      <c r="I553" s="543"/>
      <c r="K553" s="460"/>
      <c r="L553" s="460"/>
    </row>
    <row r="554" ht="15.75" customHeight="1">
      <c r="E554" s="625"/>
      <c r="G554" s="460"/>
      <c r="H554" s="626"/>
      <c r="I554" s="543"/>
      <c r="K554" s="460"/>
      <c r="L554" s="460"/>
    </row>
    <row r="555" ht="15.75" customHeight="1">
      <c r="E555" s="625"/>
      <c r="G555" s="460"/>
      <c r="H555" s="626"/>
      <c r="I555" s="543"/>
      <c r="K555" s="460"/>
      <c r="L555" s="460"/>
    </row>
    <row r="556" ht="15.75" customHeight="1">
      <c r="E556" s="625"/>
      <c r="G556" s="460"/>
      <c r="H556" s="626"/>
      <c r="I556" s="543"/>
      <c r="K556" s="460"/>
      <c r="L556" s="460"/>
    </row>
    <row r="557" ht="15.75" customHeight="1">
      <c r="E557" s="625"/>
      <c r="G557" s="460"/>
      <c r="H557" s="626"/>
      <c r="I557" s="543"/>
      <c r="K557" s="460"/>
      <c r="L557" s="460"/>
    </row>
    <row r="558" ht="15.75" customHeight="1">
      <c r="E558" s="625"/>
      <c r="G558" s="460"/>
      <c r="H558" s="626"/>
      <c r="I558" s="543"/>
      <c r="K558" s="460"/>
      <c r="L558" s="460"/>
    </row>
    <row r="559" ht="15.75" customHeight="1">
      <c r="E559" s="625"/>
      <c r="G559" s="460"/>
      <c r="H559" s="626"/>
      <c r="I559" s="543"/>
      <c r="K559" s="460"/>
      <c r="L559" s="460"/>
    </row>
    <row r="560" ht="15.75" customHeight="1">
      <c r="E560" s="625"/>
      <c r="G560" s="460"/>
      <c r="H560" s="626"/>
      <c r="I560" s="543"/>
      <c r="K560" s="460"/>
      <c r="L560" s="460"/>
    </row>
    <row r="561" ht="15.75" customHeight="1">
      <c r="E561" s="625"/>
      <c r="G561" s="460"/>
      <c r="H561" s="626"/>
      <c r="I561" s="543"/>
      <c r="K561" s="460"/>
      <c r="L561" s="460"/>
    </row>
    <row r="562" ht="15.75" customHeight="1">
      <c r="E562" s="625"/>
      <c r="G562" s="460"/>
      <c r="H562" s="626"/>
      <c r="I562" s="543"/>
      <c r="K562" s="460"/>
      <c r="L562" s="460"/>
    </row>
    <row r="563" ht="15.75" customHeight="1">
      <c r="E563" s="625"/>
      <c r="G563" s="460"/>
      <c r="H563" s="626"/>
      <c r="I563" s="543"/>
      <c r="K563" s="460"/>
      <c r="L563" s="460"/>
    </row>
    <row r="564" ht="15.75" customHeight="1">
      <c r="E564" s="625"/>
      <c r="G564" s="460"/>
      <c r="H564" s="626"/>
      <c r="I564" s="543"/>
      <c r="K564" s="460"/>
      <c r="L564" s="460"/>
    </row>
    <row r="565" ht="15.75" customHeight="1">
      <c r="E565" s="625"/>
      <c r="G565" s="460"/>
      <c r="H565" s="626"/>
      <c r="I565" s="543"/>
      <c r="K565" s="460"/>
      <c r="L565" s="460"/>
    </row>
    <row r="566" ht="15.75" customHeight="1">
      <c r="E566" s="625"/>
      <c r="G566" s="460"/>
      <c r="H566" s="626"/>
      <c r="I566" s="543"/>
      <c r="K566" s="460"/>
      <c r="L566" s="460"/>
    </row>
    <row r="567" ht="15.75" customHeight="1">
      <c r="E567" s="625"/>
      <c r="G567" s="460"/>
      <c r="H567" s="626"/>
      <c r="I567" s="543"/>
      <c r="K567" s="460"/>
      <c r="L567" s="460"/>
    </row>
    <row r="568" ht="15.75" customHeight="1">
      <c r="E568" s="625"/>
      <c r="G568" s="460"/>
      <c r="H568" s="626"/>
      <c r="I568" s="543"/>
      <c r="K568" s="460"/>
      <c r="L568" s="460"/>
    </row>
    <row r="569" ht="15.75" customHeight="1">
      <c r="E569" s="625"/>
      <c r="G569" s="460"/>
      <c r="H569" s="626"/>
      <c r="I569" s="543"/>
      <c r="K569" s="460"/>
      <c r="L569" s="460"/>
    </row>
    <row r="570" ht="15.75" customHeight="1">
      <c r="E570" s="625"/>
      <c r="G570" s="460"/>
      <c r="H570" s="626"/>
      <c r="I570" s="543"/>
      <c r="K570" s="460"/>
      <c r="L570" s="460"/>
    </row>
    <row r="571" ht="15.75" customHeight="1">
      <c r="E571" s="625"/>
      <c r="G571" s="460"/>
      <c r="H571" s="626"/>
      <c r="I571" s="543"/>
      <c r="K571" s="460"/>
      <c r="L571" s="460"/>
    </row>
    <row r="572" ht="15.75" customHeight="1">
      <c r="E572" s="625"/>
      <c r="G572" s="460"/>
      <c r="H572" s="626"/>
      <c r="I572" s="543"/>
      <c r="K572" s="460"/>
      <c r="L572" s="460"/>
    </row>
    <row r="573" ht="15.75" customHeight="1">
      <c r="E573" s="625"/>
      <c r="G573" s="460"/>
      <c r="H573" s="626"/>
      <c r="I573" s="543"/>
      <c r="K573" s="460"/>
      <c r="L573" s="460"/>
    </row>
    <row r="574" ht="15.75" customHeight="1">
      <c r="E574" s="625"/>
      <c r="G574" s="460"/>
      <c r="H574" s="626"/>
      <c r="I574" s="543"/>
      <c r="K574" s="460"/>
      <c r="L574" s="460"/>
    </row>
    <row r="575" ht="15.75" customHeight="1">
      <c r="E575" s="625"/>
      <c r="G575" s="460"/>
      <c r="H575" s="626"/>
      <c r="I575" s="543"/>
      <c r="K575" s="460"/>
      <c r="L575" s="460"/>
    </row>
    <row r="576" ht="15.75" customHeight="1">
      <c r="E576" s="625"/>
      <c r="G576" s="460"/>
      <c r="H576" s="626"/>
      <c r="I576" s="543"/>
      <c r="K576" s="460"/>
      <c r="L576" s="460"/>
    </row>
    <row r="577" ht="15.75" customHeight="1">
      <c r="E577" s="625"/>
      <c r="G577" s="460"/>
      <c r="H577" s="626"/>
      <c r="I577" s="543"/>
      <c r="K577" s="460"/>
      <c r="L577" s="460"/>
    </row>
    <row r="578" ht="15.75" customHeight="1">
      <c r="E578" s="625"/>
      <c r="G578" s="460"/>
      <c r="H578" s="626"/>
      <c r="I578" s="543"/>
      <c r="K578" s="460"/>
      <c r="L578" s="460"/>
    </row>
    <row r="579" ht="15.75" customHeight="1">
      <c r="E579" s="625"/>
      <c r="G579" s="460"/>
      <c r="H579" s="626"/>
      <c r="I579" s="543"/>
      <c r="K579" s="460"/>
      <c r="L579" s="460"/>
    </row>
    <row r="580" ht="15.75" customHeight="1">
      <c r="E580" s="625"/>
      <c r="G580" s="460"/>
      <c r="H580" s="626"/>
      <c r="I580" s="543"/>
      <c r="K580" s="460"/>
      <c r="L580" s="460"/>
    </row>
    <row r="581" ht="15.75" customHeight="1">
      <c r="E581" s="625"/>
      <c r="G581" s="460"/>
      <c r="H581" s="626"/>
      <c r="I581" s="543"/>
      <c r="K581" s="460"/>
      <c r="L581" s="460"/>
    </row>
    <row r="582" ht="15.75" customHeight="1">
      <c r="E582" s="625"/>
      <c r="G582" s="460"/>
      <c r="H582" s="626"/>
      <c r="I582" s="543"/>
      <c r="K582" s="460"/>
      <c r="L582" s="460"/>
    </row>
    <row r="583" ht="15.75" customHeight="1">
      <c r="E583" s="625"/>
      <c r="G583" s="460"/>
      <c r="H583" s="626"/>
      <c r="I583" s="543"/>
      <c r="K583" s="460"/>
      <c r="L583" s="460"/>
    </row>
    <row r="584" ht="15.75" customHeight="1">
      <c r="E584" s="625"/>
      <c r="G584" s="460"/>
      <c r="H584" s="626"/>
      <c r="I584" s="543"/>
      <c r="K584" s="460"/>
      <c r="L584" s="460"/>
    </row>
    <row r="585" ht="15.75" customHeight="1">
      <c r="E585" s="625"/>
      <c r="G585" s="460"/>
      <c r="H585" s="626"/>
      <c r="I585" s="543"/>
      <c r="K585" s="460"/>
      <c r="L585" s="460"/>
    </row>
    <row r="586" ht="15.75" customHeight="1">
      <c r="E586" s="625"/>
      <c r="G586" s="460"/>
      <c r="H586" s="626"/>
      <c r="I586" s="543"/>
      <c r="K586" s="460"/>
      <c r="L586" s="460"/>
    </row>
    <row r="587" ht="15.75" customHeight="1">
      <c r="E587" s="625"/>
      <c r="G587" s="460"/>
      <c r="H587" s="626"/>
      <c r="I587" s="543"/>
      <c r="K587" s="460"/>
      <c r="L587" s="460"/>
    </row>
    <row r="588" ht="15.75" customHeight="1">
      <c r="E588" s="625"/>
      <c r="G588" s="460"/>
      <c r="H588" s="626"/>
      <c r="I588" s="543"/>
      <c r="K588" s="460"/>
      <c r="L588" s="460"/>
    </row>
    <row r="589" ht="15.75" customHeight="1">
      <c r="E589" s="625"/>
      <c r="G589" s="460"/>
      <c r="H589" s="626"/>
      <c r="I589" s="543"/>
      <c r="K589" s="460"/>
      <c r="L589" s="460"/>
    </row>
    <row r="590" ht="15.75" customHeight="1">
      <c r="E590" s="625"/>
      <c r="G590" s="460"/>
      <c r="H590" s="626"/>
      <c r="I590" s="543"/>
      <c r="K590" s="460"/>
      <c r="L590" s="460"/>
    </row>
    <row r="591" ht="15.75" customHeight="1">
      <c r="E591" s="625"/>
      <c r="G591" s="460"/>
      <c r="H591" s="626"/>
      <c r="I591" s="543"/>
      <c r="K591" s="460"/>
      <c r="L591" s="460"/>
    </row>
    <row r="592" ht="15.75" customHeight="1">
      <c r="E592" s="625"/>
      <c r="G592" s="460"/>
      <c r="H592" s="626"/>
      <c r="I592" s="543"/>
      <c r="K592" s="460"/>
      <c r="L592" s="460"/>
    </row>
    <row r="593" ht="15.75" customHeight="1">
      <c r="E593" s="625"/>
      <c r="G593" s="460"/>
      <c r="H593" s="626"/>
      <c r="I593" s="543"/>
      <c r="K593" s="460"/>
      <c r="L593" s="460"/>
    </row>
    <row r="594" ht="15.75" customHeight="1">
      <c r="E594" s="625"/>
      <c r="G594" s="460"/>
      <c r="H594" s="626"/>
      <c r="I594" s="543"/>
      <c r="K594" s="460"/>
      <c r="L594" s="460"/>
    </row>
    <row r="595" ht="15.75" customHeight="1">
      <c r="E595" s="625"/>
      <c r="G595" s="460"/>
      <c r="H595" s="626"/>
      <c r="I595" s="543"/>
      <c r="K595" s="460"/>
      <c r="L595" s="460"/>
    </row>
    <row r="596" ht="15.75" customHeight="1">
      <c r="E596" s="625"/>
      <c r="G596" s="460"/>
      <c r="H596" s="626"/>
      <c r="I596" s="543"/>
      <c r="K596" s="460"/>
      <c r="L596" s="460"/>
    </row>
    <row r="597" ht="15.75" customHeight="1">
      <c r="E597" s="625"/>
      <c r="G597" s="460"/>
      <c r="H597" s="626"/>
      <c r="I597" s="543"/>
      <c r="K597" s="460"/>
      <c r="L597" s="460"/>
    </row>
    <row r="598" ht="15.75" customHeight="1">
      <c r="E598" s="625"/>
      <c r="G598" s="460"/>
      <c r="H598" s="626"/>
      <c r="I598" s="543"/>
      <c r="K598" s="460"/>
      <c r="L598" s="460"/>
    </row>
    <row r="599" ht="15.75" customHeight="1">
      <c r="E599" s="625"/>
      <c r="G599" s="460"/>
      <c r="H599" s="626"/>
      <c r="I599" s="543"/>
      <c r="K599" s="460"/>
      <c r="L599" s="460"/>
    </row>
    <row r="600" ht="15.75" customHeight="1">
      <c r="E600" s="625"/>
      <c r="G600" s="460"/>
      <c r="H600" s="626"/>
      <c r="I600" s="543"/>
      <c r="K600" s="460"/>
      <c r="L600" s="460"/>
    </row>
    <row r="601" ht="15.75" customHeight="1">
      <c r="E601" s="625"/>
      <c r="G601" s="460"/>
      <c r="H601" s="626"/>
      <c r="I601" s="543"/>
      <c r="K601" s="460"/>
      <c r="L601" s="460"/>
    </row>
    <row r="602" ht="15.75" customHeight="1">
      <c r="E602" s="625"/>
      <c r="G602" s="460"/>
      <c r="H602" s="626"/>
      <c r="I602" s="543"/>
      <c r="K602" s="460"/>
      <c r="L602" s="460"/>
    </row>
    <row r="603" ht="15.75" customHeight="1">
      <c r="E603" s="625"/>
      <c r="G603" s="460"/>
      <c r="H603" s="626"/>
      <c r="I603" s="543"/>
      <c r="K603" s="460"/>
      <c r="L603" s="460"/>
    </row>
    <row r="604" ht="15.75" customHeight="1">
      <c r="E604" s="625"/>
      <c r="G604" s="460"/>
      <c r="H604" s="626"/>
      <c r="I604" s="543"/>
      <c r="K604" s="460"/>
      <c r="L604" s="460"/>
    </row>
    <row r="605" ht="15.75" customHeight="1">
      <c r="E605" s="625"/>
      <c r="G605" s="460"/>
      <c r="H605" s="626"/>
      <c r="I605" s="543"/>
      <c r="K605" s="460"/>
      <c r="L605" s="460"/>
    </row>
    <row r="606" ht="15.75" customHeight="1">
      <c r="E606" s="625"/>
      <c r="G606" s="460"/>
      <c r="H606" s="626"/>
      <c r="I606" s="543"/>
      <c r="K606" s="460"/>
      <c r="L606" s="460"/>
    </row>
    <row r="607" ht="15.75" customHeight="1">
      <c r="E607" s="625"/>
      <c r="G607" s="460"/>
      <c r="H607" s="626"/>
      <c r="I607" s="543"/>
      <c r="K607" s="460"/>
      <c r="L607" s="460"/>
    </row>
    <row r="608" ht="15.75" customHeight="1">
      <c r="E608" s="625"/>
      <c r="G608" s="460"/>
      <c r="H608" s="626"/>
      <c r="I608" s="543"/>
      <c r="K608" s="460"/>
      <c r="L608" s="460"/>
    </row>
    <row r="609" ht="15.75" customHeight="1">
      <c r="E609" s="625"/>
      <c r="G609" s="460"/>
      <c r="H609" s="626"/>
      <c r="I609" s="543"/>
      <c r="K609" s="460"/>
      <c r="L609" s="460"/>
    </row>
    <row r="610" ht="15.75" customHeight="1">
      <c r="E610" s="625"/>
      <c r="G610" s="460"/>
      <c r="H610" s="626"/>
      <c r="I610" s="543"/>
      <c r="K610" s="460"/>
      <c r="L610" s="460"/>
    </row>
    <row r="611" ht="15.75" customHeight="1">
      <c r="E611" s="625"/>
      <c r="G611" s="460"/>
      <c r="H611" s="626"/>
      <c r="I611" s="543"/>
      <c r="K611" s="460"/>
      <c r="L611" s="460"/>
    </row>
    <row r="612" ht="15.75" customHeight="1">
      <c r="E612" s="625"/>
      <c r="G612" s="460"/>
      <c r="H612" s="626"/>
      <c r="I612" s="543"/>
      <c r="K612" s="460"/>
      <c r="L612" s="460"/>
    </row>
    <row r="613" ht="15.75" customHeight="1">
      <c r="E613" s="625"/>
      <c r="G613" s="460"/>
      <c r="H613" s="626"/>
      <c r="I613" s="543"/>
      <c r="K613" s="460"/>
      <c r="L613" s="460"/>
    </row>
    <row r="614" ht="15.75" customHeight="1">
      <c r="E614" s="625"/>
      <c r="G614" s="460"/>
      <c r="H614" s="626"/>
      <c r="I614" s="543"/>
      <c r="K614" s="460"/>
      <c r="L614" s="460"/>
    </row>
    <row r="615" ht="15.75" customHeight="1">
      <c r="E615" s="625"/>
      <c r="G615" s="460"/>
      <c r="H615" s="626"/>
      <c r="I615" s="543"/>
      <c r="K615" s="460"/>
      <c r="L615" s="460"/>
    </row>
    <row r="616" ht="15.75" customHeight="1">
      <c r="E616" s="625"/>
      <c r="G616" s="460"/>
      <c r="H616" s="626"/>
      <c r="I616" s="543"/>
      <c r="K616" s="460"/>
      <c r="L616" s="460"/>
    </row>
    <row r="617" ht="15.75" customHeight="1">
      <c r="E617" s="625"/>
      <c r="G617" s="460"/>
      <c r="H617" s="626"/>
      <c r="I617" s="543"/>
      <c r="K617" s="460"/>
      <c r="L617" s="460"/>
    </row>
    <row r="618" ht="15.75" customHeight="1">
      <c r="E618" s="625"/>
      <c r="G618" s="460"/>
      <c r="H618" s="626"/>
      <c r="I618" s="543"/>
      <c r="K618" s="460"/>
      <c r="L618" s="460"/>
    </row>
    <row r="619" ht="15.75" customHeight="1">
      <c r="E619" s="625"/>
      <c r="G619" s="460"/>
      <c r="H619" s="626"/>
      <c r="I619" s="543"/>
      <c r="K619" s="460"/>
      <c r="L619" s="460"/>
    </row>
    <row r="620" ht="15.75" customHeight="1">
      <c r="E620" s="625"/>
      <c r="G620" s="460"/>
      <c r="H620" s="626"/>
      <c r="I620" s="543"/>
      <c r="K620" s="460"/>
      <c r="L620" s="460"/>
    </row>
    <row r="621" ht="15.75" customHeight="1">
      <c r="E621" s="625"/>
      <c r="G621" s="460"/>
      <c r="H621" s="626"/>
      <c r="I621" s="543"/>
      <c r="K621" s="460"/>
      <c r="L621" s="460"/>
    </row>
    <row r="622" ht="15.75" customHeight="1">
      <c r="E622" s="625"/>
      <c r="G622" s="460"/>
      <c r="H622" s="626"/>
      <c r="I622" s="543"/>
      <c r="K622" s="460"/>
      <c r="L622" s="460"/>
    </row>
    <row r="623" ht="15.75" customHeight="1">
      <c r="E623" s="625"/>
      <c r="G623" s="460"/>
      <c r="H623" s="626"/>
      <c r="I623" s="543"/>
      <c r="K623" s="460"/>
      <c r="L623" s="460"/>
    </row>
    <row r="624" ht="15.75" customHeight="1">
      <c r="E624" s="625"/>
      <c r="G624" s="460"/>
      <c r="H624" s="626"/>
      <c r="I624" s="543"/>
      <c r="K624" s="460"/>
      <c r="L624" s="460"/>
    </row>
    <row r="625" ht="15.75" customHeight="1">
      <c r="E625" s="625"/>
      <c r="G625" s="460"/>
      <c r="H625" s="626"/>
      <c r="I625" s="543"/>
      <c r="K625" s="460"/>
      <c r="L625" s="460"/>
    </row>
    <row r="626" ht="15.75" customHeight="1">
      <c r="E626" s="625"/>
      <c r="G626" s="460"/>
      <c r="H626" s="626"/>
      <c r="I626" s="543"/>
      <c r="K626" s="460"/>
      <c r="L626" s="460"/>
    </row>
    <row r="627" ht="15.75" customHeight="1">
      <c r="E627" s="625"/>
      <c r="G627" s="460"/>
      <c r="H627" s="626"/>
      <c r="I627" s="543"/>
      <c r="K627" s="460"/>
      <c r="L627" s="460"/>
    </row>
    <row r="628" ht="15.75" customHeight="1">
      <c r="E628" s="625"/>
      <c r="G628" s="460"/>
      <c r="H628" s="626"/>
      <c r="I628" s="543"/>
      <c r="K628" s="460"/>
      <c r="L628" s="460"/>
    </row>
    <row r="629" ht="15.75" customHeight="1">
      <c r="E629" s="625"/>
      <c r="G629" s="460"/>
      <c r="H629" s="626"/>
      <c r="I629" s="543"/>
      <c r="K629" s="460"/>
      <c r="L629" s="460"/>
    </row>
    <row r="630" ht="15.75" customHeight="1">
      <c r="E630" s="625"/>
      <c r="G630" s="460"/>
      <c r="H630" s="626"/>
      <c r="I630" s="543"/>
      <c r="K630" s="460"/>
      <c r="L630" s="460"/>
    </row>
    <row r="631" ht="15.75" customHeight="1">
      <c r="E631" s="625"/>
      <c r="G631" s="460"/>
      <c r="H631" s="626"/>
      <c r="I631" s="543"/>
      <c r="K631" s="460"/>
      <c r="L631" s="460"/>
    </row>
    <row r="632" ht="15.75" customHeight="1">
      <c r="E632" s="625"/>
      <c r="G632" s="460"/>
      <c r="H632" s="626"/>
      <c r="I632" s="543"/>
      <c r="K632" s="460"/>
      <c r="L632" s="460"/>
    </row>
    <row r="633" ht="15.75" customHeight="1">
      <c r="E633" s="625"/>
      <c r="G633" s="460"/>
      <c r="H633" s="626"/>
      <c r="I633" s="543"/>
      <c r="K633" s="460"/>
      <c r="L633" s="460"/>
    </row>
    <row r="634" ht="15.75" customHeight="1">
      <c r="E634" s="625"/>
      <c r="G634" s="460"/>
      <c r="H634" s="626"/>
      <c r="I634" s="543"/>
      <c r="K634" s="460"/>
      <c r="L634" s="460"/>
    </row>
    <row r="635" ht="15.75" customHeight="1">
      <c r="E635" s="625"/>
      <c r="G635" s="460"/>
      <c r="H635" s="626"/>
      <c r="I635" s="543"/>
      <c r="K635" s="460"/>
      <c r="L635" s="460"/>
    </row>
    <row r="636" ht="15.75" customHeight="1">
      <c r="E636" s="625"/>
      <c r="G636" s="460"/>
      <c r="H636" s="626"/>
      <c r="I636" s="543"/>
      <c r="K636" s="460"/>
      <c r="L636" s="460"/>
    </row>
    <row r="637" ht="15.75" customHeight="1">
      <c r="E637" s="625"/>
      <c r="G637" s="460"/>
      <c r="H637" s="626"/>
      <c r="I637" s="543"/>
      <c r="K637" s="460"/>
      <c r="L637" s="460"/>
    </row>
    <row r="638" ht="15.75" customHeight="1">
      <c r="E638" s="625"/>
      <c r="G638" s="460"/>
      <c r="H638" s="626"/>
      <c r="I638" s="543"/>
      <c r="K638" s="460"/>
      <c r="L638" s="460"/>
    </row>
    <row r="639" ht="15.75" customHeight="1">
      <c r="E639" s="625"/>
      <c r="G639" s="460"/>
      <c r="H639" s="626"/>
      <c r="I639" s="543"/>
      <c r="K639" s="460"/>
      <c r="L639" s="460"/>
    </row>
    <row r="640" ht="15.75" customHeight="1">
      <c r="E640" s="625"/>
      <c r="G640" s="460"/>
      <c r="H640" s="626"/>
      <c r="I640" s="543"/>
      <c r="K640" s="460"/>
      <c r="L640" s="460"/>
    </row>
    <row r="641" ht="15.75" customHeight="1">
      <c r="E641" s="625"/>
      <c r="G641" s="460"/>
      <c r="H641" s="626"/>
      <c r="I641" s="543"/>
      <c r="K641" s="460"/>
      <c r="L641" s="460"/>
    </row>
    <row r="642" ht="15.75" customHeight="1">
      <c r="E642" s="625"/>
      <c r="G642" s="460"/>
      <c r="H642" s="626"/>
      <c r="I642" s="543"/>
      <c r="K642" s="460"/>
      <c r="L642" s="460"/>
    </row>
    <row r="643" ht="15.75" customHeight="1">
      <c r="E643" s="625"/>
      <c r="G643" s="460"/>
      <c r="H643" s="626"/>
      <c r="I643" s="543"/>
      <c r="K643" s="460"/>
      <c r="L643" s="460"/>
    </row>
    <row r="644" ht="15.75" customHeight="1">
      <c r="E644" s="625"/>
      <c r="G644" s="460"/>
      <c r="H644" s="626"/>
      <c r="I644" s="543"/>
      <c r="K644" s="460"/>
      <c r="L644" s="460"/>
    </row>
    <row r="645" ht="15.75" customHeight="1">
      <c r="E645" s="625"/>
      <c r="G645" s="460"/>
      <c r="H645" s="626"/>
      <c r="I645" s="543"/>
      <c r="K645" s="460"/>
      <c r="L645" s="460"/>
    </row>
    <row r="646" ht="15.75" customHeight="1">
      <c r="E646" s="625"/>
      <c r="G646" s="460"/>
      <c r="H646" s="626"/>
      <c r="I646" s="543"/>
      <c r="K646" s="460"/>
      <c r="L646" s="460"/>
    </row>
    <row r="647" ht="15.75" customHeight="1">
      <c r="E647" s="625"/>
      <c r="G647" s="460"/>
      <c r="H647" s="626"/>
      <c r="I647" s="543"/>
      <c r="K647" s="460"/>
      <c r="L647" s="460"/>
    </row>
    <row r="648" ht="15.75" customHeight="1">
      <c r="E648" s="625"/>
      <c r="G648" s="460"/>
      <c r="H648" s="626"/>
      <c r="I648" s="543"/>
      <c r="K648" s="460"/>
      <c r="L648" s="460"/>
    </row>
    <row r="649" ht="15.75" customHeight="1">
      <c r="E649" s="625"/>
      <c r="G649" s="460"/>
      <c r="H649" s="626"/>
      <c r="I649" s="543"/>
      <c r="K649" s="460"/>
      <c r="L649" s="460"/>
    </row>
    <row r="650" ht="15.75" customHeight="1">
      <c r="E650" s="625"/>
      <c r="G650" s="460"/>
      <c r="H650" s="626"/>
      <c r="I650" s="543"/>
      <c r="K650" s="460"/>
      <c r="L650" s="460"/>
    </row>
    <row r="651" ht="15.75" customHeight="1">
      <c r="E651" s="625"/>
      <c r="G651" s="460"/>
      <c r="H651" s="626"/>
      <c r="I651" s="543"/>
      <c r="K651" s="460"/>
      <c r="L651" s="460"/>
    </row>
    <row r="652" ht="15.75" customHeight="1">
      <c r="E652" s="625"/>
      <c r="G652" s="460"/>
      <c r="H652" s="626"/>
      <c r="I652" s="543"/>
      <c r="K652" s="460"/>
      <c r="L652" s="460"/>
    </row>
    <row r="653" ht="15.75" customHeight="1">
      <c r="E653" s="625"/>
      <c r="G653" s="460"/>
      <c r="H653" s="626"/>
      <c r="I653" s="543"/>
      <c r="K653" s="460"/>
      <c r="L653" s="460"/>
    </row>
    <row r="654" ht="15.75" customHeight="1">
      <c r="E654" s="625"/>
      <c r="G654" s="460"/>
      <c r="H654" s="626"/>
      <c r="I654" s="543"/>
      <c r="K654" s="460"/>
      <c r="L654" s="460"/>
    </row>
    <row r="655" ht="15.75" customHeight="1">
      <c r="E655" s="625"/>
      <c r="G655" s="460"/>
      <c r="H655" s="626"/>
      <c r="I655" s="543"/>
      <c r="K655" s="460"/>
      <c r="L655" s="460"/>
    </row>
    <row r="656" ht="15.75" customHeight="1">
      <c r="E656" s="625"/>
      <c r="G656" s="460"/>
      <c r="H656" s="626"/>
      <c r="I656" s="543"/>
      <c r="K656" s="460"/>
      <c r="L656" s="460"/>
    </row>
    <row r="657" ht="15.75" customHeight="1">
      <c r="E657" s="625"/>
      <c r="G657" s="460"/>
      <c r="H657" s="626"/>
      <c r="I657" s="543"/>
      <c r="K657" s="460"/>
      <c r="L657" s="460"/>
    </row>
    <row r="658" ht="15.75" customHeight="1">
      <c r="E658" s="625"/>
      <c r="G658" s="460"/>
      <c r="H658" s="626"/>
      <c r="I658" s="543"/>
      <c r="K658" s="460"/>
      <c r="L658" s="460"/>
    </row>
    <row r="659" ht="15.75" customHeight="1">
      <c r="E659" s="625"/>
      <c r="G659" s="460"/>
      <c r="H659" s="626"/>
      <c r="I659" s="543"/>
      <c r="K659" s="460"/>
      <c r="L659" s="460"/>
    </row>
    <row r="660" ht="15.75" customHeight="1">
      <c r="E660" s="625"/>
      <c r="G660" s="460"/>
      <c r="H660" s="626"/>
      <c r="I660" s="543"/>
      <c r="K660" s="460"/>
      <c r="L660" s="460"/>
    </row>
    <row r="661" ht="15.75" customHeight="1">
      <c r="E661" s="625"/>
      <c r="G661" s="460"/>
      <c r="H661" s="626"/>
      <c r="I661" s="543"/>
      <c r="K661" s="460"/>
      <c r="L661" s="460"/>
    </row>
    <row r="662" ht="15.75" customHeight="1">
      <c r="E662" s="625"/>
      <c r="G662" s="460"/>
      <c r="H662" s="626"/>
      <c r="I662" s="543"/>
      <c r="K662" s="460"/>
      <c r="L662" s="460"/>
    </row>
    <row r="663" ht="15.75" customHeight="1">
      <c r="E663" s="625"/>
      <c r="G663" s="460"/>
      <c r="H663" s="626"/>
      <c r="I663" s="543"/>
      <c r="K663" s="460"/>
      <c r="L663" s="460"/>
    </row>
    <row r="664" ht="15.75" customHeight="1">
      <c r="E664" s="625"/>
      <c r="G664" s="460"/>
      <c r="H664" s="626"/>
      <c r="I664" s="543"/>
      <c r="K664" s="460"/>
      <c r="L664" s="460"/>
    </row>
    <row r="665" ht="15.75" customHeight="1">
      <c r="E665" s="625"/>
      <c r="G665" s="460"/>
      <c r="H665" s="626"/>
      <c r="I665" s="543"/>
      <c r="K665" s="460"/>
      <c r="L665" s="460"/>
    </row>
    <row r="666" ht="15.75" customHeight="1">
      <c r="E666" s="625"/>
      <c r="G666" s="460"/>
      <c r="H666" s="626"/>
      <c r="I666" s="543"/>
      <c r="K666" s="460"/>
      <c r="L666" s="460"/>
    </row>
    <row r="667" ht="15.75" customHeight="1">
      <c r="E667" s="625"/>
      <c r="G667" s="460"/>
      <c r="H667" s="626"/>
      <c r="I667" s="543"/>
      <c r="K667" s="460"/>
      <c r="L667" s="460"/>
    </row>
    <row r="668" ht="15.75" customHeight="1">
      <c r="E668" s="625"/>
      <c r="G668" s="460"/>
      <c r="H668" s="626"/>
      <c r="I668" s="543"/>
      <c r="K668" s="460"/>
      <c r="L668" s="460"/>
    </row>
    <row r="669" ht="15.75" customHeight="1">
      <c r="E669" s="625"/>
      <c r="G669" s="460"/>
      <c r="H669" s="626"/>
      <c r="I669" s="543"/>
      <c r="K669" s="460"/>
      <c r="L669" s="460"/>
    </row>
    <row r="670" ht="15.75" customHeight="1">
      <c r="E670" s="625"/>
      <c r="G670" s="460"/>
      <c r="H670" s="626"/>
      <c r="I670" s="543"/>
      <c r="K670" s="460"/>
      <c r="L670" s="460"/>
    </row>
    <row r="671" ht="15.75" customHeight="1">
      <c r="E671" s="625"/>
      <c r="G671" s="460"/>
      <c r="H671" s="626"/>
      <c r="I671" s="543"/>
      <c r="K671" s="460"/>
      <c r="L671" s="460"/>
    </row>
    <row r="672" ht="15.75" customHeight="1">
      <c r="E672" s="625"/>
      <c r="G672" s="460"/>
      <c r="H672" s="626"/>
      <c r="I672" s="543"/>
      <c r="K672" s="460"/>
      <c r="L672" s="460"/>
    </row>
    <row r="673" ht="15.75" customHeight="1">
      <c r="E673" s="625"/>
      <c r="G673" s="460"/>
      <c r="H673" s="626"/>
      <c r="I673" s="543"/>
      <c r="K673" s="460"/>
      <c r="L673" s="460"/>
    </row>
    <row r="674" ht="15.75" customHeight="1">
      <c r="E674" s="625"/>
      <c r="G674" s="460"/>
      <c r="H674" s="626"/>
      <c r="I674" s="543"/>
      <c r="K674" s="460"/>
      <c r="L674" s="460"/>
    </row>
    <row r="675" ht="15.75" customHeight="1">
      <c r="E675" s="625"/>
      <c r="G675" s="460"/>
      <c r="H675" s="626"/>
      <c r="I675" s="543"/>
      <c r="K675" s="460"/>
      <c r="L675" s="460"/>
    </row>
    <row r="676" ht="15.75" customHeight="1">
      <c r="E676" s="625"/>
      <c r="G676" s="460"/>
      <c r="H676" s="626"/>
      <c r="I676" s="543"/>
      <c r="K676" s="460"/>
      <c r="L676" s="460"/>
    </row>
    <row r="677" ht="15.75" customHeight="1">
      <c r="E677" s="625"/>
      <c r="G677" s="460"/>
      <c r="H677" s="626"/>
      <c r="I677" s="543"/>
      <c r="K677" s="460"/>
      <c r="L677" s="460"/>
    </row>
    <row r="678" ht="15.75" customHeight="1">
      <c r="E678" s="625"/>
      <c r="G678" s="460"/>
      <c r="H678" s="626"/>
      <c r="I678" s="543"/>
      <c r="K678" s="460"/>
      <c r="L678" s="460"/>
    </row>
    <row r="679" ht="15.75" customHeight="1">
      <c r="E679" s="625"/>
      <c r="G679" s="460"/>
      <c r="H679" s="626"/>
      <c r="I679" s="543"/>
      <c r="K679" s="460"/>
      <c r="L679" s="460"/>
    </row>
    <row r="680" ht="15.75" customHeight="1">
      <c r="E680" s="625"/>
      <c r="G680" s="460"/>
      <c r="H680" s="626"/>
      <c r="I680" s="543"/>
      <c r="K680" s="460"/>
      <c r="L680" s="460"/>
    </row>
    <row r="681" ht="15.75" customHeight="1">
      <c r="E681" s="625"/>
      <c r="G681" s="460"/>
      <c r="H681" s="626"/>
      <c r="I681" s="543"/>
      <c r="K681" s="460"/>
      <c r="L681" s="460"/>
    </row>
    <row r="682" ht="15.75" customHeight="1">
      <c r="E682" s="625"/>
      <c r="G682" s="460"/>
      <c r="H682" s="626"/>
      <c r="I682" s="543"/>
      <c r="K682" s="460"/>
      <c r="L682" s="460"/>
    </row>
    <row r="683" ht="15.75" customHeight="1">
      <c r="E683" s="625"/>
      <c r="G683" s="460"/>
      <c r="H683" s="626"/>
      <c r="I683" s="543"/>
      <c r="K683" s="460"/>
      <c r="L683" s="460"/>
    </row>
    <row r="684" ht="15.75" customHeight="1">
      <c r="E684" s="625"/>
      <c r="G684" s="460"/>
      <c r="H684" s="626"/>
      <c r="I684" s="543"/>
      <c r="K684" s="460"/>
      <c r="L684" s="460"/>
    </row>
    <row r="685" ht="15.75" customHeight="1">
      <c r="E685" s="625"/>
      <c r="G685" s="460"/>
      <c r="H685" s="626"/>
      <c r="I685" s="543"/>
      <c r="K685" s="460"/>
      <c r="L685" s="460"/>
    </row>
    <row r="686" ht="15.75" customHeight="1">
      <c r="E686" s="625"/>
      <c r="G686" s="460"/>
      <c r="H686" s="626"/>
      <c r="I686" s="543"/>
      <c r="K686" s="460"/>
      <c r="L686" s="460"/>
    </row>
    <row r="687" ht="15.75" customHeight="1">
      <c r="E687" s="625"/>
      <c r="G687" s="460"/>
      <c r="H687" s="626"/>
      <c r="I687" s="543"/>
      <c r="K687" s="460"/>
      <c r="L687" s="460"/>
    </row>
    <row r="688" ht="15.75" customHeight="1">
      <c r="E688" s="625"/>
      <c r="G688" s="460"/>
      <c r="H688" s="626"/>
      <c r="I688" s="543"/>
      <c r="K688" s="460"/>
      <c r="L688" s="460"/>
    </row>
    <row r="689" ht="15.75" customHeight="1">
      <c r="E689" s="625"/>
      <c r="G689" s="460"/>
      <c r="H689" s="626"/>
      <c r="I689" s="543"/>
      <c r="K689" s="460"/>
      <c r="L689" s="460"/>
    </row>
    <row r="690" ht="15.75" customHeight="1">
      <c r="E690" s="625"/>
      <c r="G690" s="460"/>
      <c r="H690" s="626"/>
      <c r="I690" s="543"/>
      <c r="K690" s="460"/>
      <c r="L690" s="460"/>
    </row>
    <row r="691" ht="15.75" customHeight="1">
      <c r="E691" s="625"/>
      <c r="G691" s="460"/>
      <c r="H691" s="626"/>
      <c r="I691" s="543"/>
      <c r="K691" s="460"/>
      <c r="L691" s="460"/>
    </row>
    <row r="692" ht="15.75" customHeight="1">
      <c r="E692" s="625"/>
      <c r="G692" s="460"/>
      <c r="H692" s="626"/>
      <c r="I692" s="543"/>
      <c r="K692" s="460"/>
      <c r="L692" s="460"/>
    </row>
    <row r="693" ht="15.75" customHeight="1">
      <c r="E693" s="625"/>
      <c r="G693" s="460"/>
      <c r="H693" s="626"/>
      <c r="I693" s="543"/>
      <c r="K693" s="460"/>
      <c r="L693" s="460"/>
    </row>
    <row r="694" ht="15.75" customHeight="1">
      <c r="E694" s="625"/>
      <c r="G694" s="460"/>
      <c r="H694" s="626"/>
      <c r="I694" s="543"/>
      <c r="K694" s="460"/>
      <c r="L694" s="460"/>
    </row>
    <row r="695" ht="15.75" customHeight="1">
      <c r="E695" s="625"/>
      <c r="G695" s="460"/>
      <c r="H695" s="626"/>
      <c r="I695" s="543"/>
      <c r="K695" s="460"/>
      <c r="L695" s="460"/>
    </row>
    <row r="696" ht="15.75" customHeight="1">
      <c r="E696" s="625"/>
      <c r="G696" s="460"/>
      <c r="H696" s="626"/>
      <c r="I696" s="543"/>
      <c r="K696" s="460"/>
      <c r="L696" s="460"/>
    </row>
    <row r="697" ht="15.75" customHeight="1">
      <c r="E697" s="625"/>
      <c r="G697" s="460"/>
      <c r="H697" s="626"/>
      <c r="I697" s="543"/>
      <c r="K697" s="460"/>
      <c r="L697" s="460"/>
    </row>
    <row r="698" ht="15.75" customHeight="1">
      <c r="E698" s="625"/>
      <c r="G698" s="460"/>
      <c r="H698" s="626"/>
      <c r="I698" s="543"/>
      <c r="K698" s="460"/>
      <c r="L698" s="460"/>
    </row>
    <row r="699" ht="15.75" customHeight="1">
      <c r="E699" s="625"/>
      <c r="G699" s="460"/>
      <c r="H699" s="626"/>
      <c r="I699" s="543"/>
      <c r="K699" s="460"/>
      <c r="L699" s="460"/>
    </row>
    <row r="700" ht="15.75" customHeight="1">
      <c r="E700" s="625"/>
      <c r="G700" s="460"/>
      <c r="H700" s="626"/>
      <c r="I700" s="543"/>
      <c r="K700" s="460"/>
      <c r="L700" s="460"/>
    </row>
    <row r="701" ht="15.75" customHeight="1">
      <c r="E701" s="625"/>
      <c r="G701" s="460"/>
      <c r="H701" s="626"/>
      <c r="I701" s="543"/>
      <c r="K701" s="460"/>
      <c r="L701" s="460"/>
    </row>
    <row r="702" ht="15.75" customHeight="1">
      <c r="E702" s="625"/>
      <c r="G702" s="460"/>
      <c r="H702" s="626"/>
      <c r="I702" s="543"/>
      <c r="K702" s="460"/>
      <c r="L702" s="460"/>
    </row>
    <row r="703" ht="15.75" customHeight="1">
      <c r="E703" s="625"/>
      <c r="G703" s="460"/>
      <c r="H703" s="626"/>
      <c r="I703" s="543"/>
      <c r="K703" s="460"/>
      <c r="L703" s="460"/>
    </row>
    <row r="704" ht="15.75" customHeight="1">
      <c r="E704" s="625"/>
      <c r="G704" s="460"/>
      <c r="H704" s="626"/>
      <c r="I704" s="543"/>
      <c r="K704" s="460"/>
      <c r="L704" s="460"/>
    </row>
    <row r="705" ht="15.75" customHeight="1">
      <c r="E705" s="625"/>
      <c r="G705" s="460"/>
      <c r="H705" s="626"/>
      <c r="I705" s="543"/>
      <c r="K705" s="460"/>
      <c r="L705" s="460"/>
    </row>
    <row r="706" ht="15.75" customHeight="1">
      <c r="E706" s="625"/>
      <c r="G706" s="460"/>
      <c r="H706" s="626"/>
      <c r="I706" s="543"/>
      <c r="K706" s="460"/>
      <c r="L706" s="460"/>
    </row>
    <row r="707" ht="15.75" customHeight="1">
      <c r="E707" s="625"/>
      <c r="G707" s="460"/>
      <c r="H707" s="626"/>
      <c r="I707" s="543"/>
      <c r="K707" s="460"/>
      <c r="L707" s="460"/>
    </row>
    <row r="708" ht="15.75" customHeight="1">
      <c r="E708" s="625"/>
      <c r="G708" s="460"/>
      <c r="H708" s="626"/>
      <c r="I708" s="543"/>
      <c r="K708" s="460"/>
      <c r="L708" s="460"/>
    </row>
    <row r="709" ht="15.75" customHeight="1">
      <c r="E709" s="625"/>
      <c r="G709" s="460"/>
      <c r="H709" s="626"/>
      <c r="I709" s="543"/>
      <c r="K709" s="460"/>
      <c r="L709" s="460"/>
    </row>
    <row r="710" ht="15.75" customHeight="1">
      <c r="E710" s="625"/>
      <c r="G710" s="460"/>
      <c r="H710" s="626"/>
      <c r="I710" s="543"/>
      <c r="K710" s="460"/>
      <c r="L710" s="460"/>
    </row>
    <row r="711" ht="15.75" customHeight="1">
      <c r="E711" s="625"/>
      <c r="G711" s="460"/>
      <c r="H711" s="626"/>
      <c r="I711" s="543"/>
      <c r="K711" s="460"/>
      <c r="L711" s="460"/>
    </row>
    <row r="712" ht="15.75" customHeight="1">
      <c r="E712" s="625"/>
      <c r="G712" s="460"/>
      <c r="H712" s="626"/>
      <c r="I712" s="543"/>
      <c r="K712" s="460"/>
      <c r="L712" s="460"/>
    </row>
    <row r="713" ht="15.75" customHeight="1">
      <c r="E713" s="625"/>
      <c r="G713" s="460"/>
      <c r="H713" s="626"/>
      <c r="I713" s="543"/>
      <c r="K713" s="460"/>
      <c r="L713" s="460"/>
    </row>
    <row r="714" ht="15.75" customHeight="1">
      <c r="E714" s="625"/>
      <c r="G714" s="460"/>
      <c r="H714" s="626"/>
      <c r="I714" s="543"/>
      <c r="K714" s="460"/>
      <c r="L714" s="460"/>
    </row>
    <row r="715" ht="15.75" customHeight="1">
      <c r="E715" s="625"/>
      <c r="G715" s="460"/>
      <c r="H715" s="626"/>
      <c r="I715" s="543"/>
      <c r="K715" s="460"/>
      <c r="L715" s="460"/>
    </row>
    <row r="716" ht="15.75" customHeight="1">
      <c r="E716" s="625"/>
      <c r="G716" s="460"/>
      <c r="H716" s="626"/>
      <c r="I716" s="543"/>
      <c r="K716" s="460"/>
      <c r="L716" s="460"/>
    </row>
    <row r="717" ht="15.75" customHeight="1">
      <c r="E717" s="625"/>
      <c r="G717" s="460"/>
      <c r="H717" s="626"/>
      <c r="I717" s="543"/>
      <c r="K717" s="460"/>
      <c r="L717" s="460"/>
    </row>
    <row r="718" ht="15.75" customHeight="1">
      <c r="E718" s="625"/>
      <c r="G718" s="460"/>
      <c r="H718" s="626"/>
      <c r="I718" s="543"/>
      <c r="K718" s="460"/>
      <c r="L718" s="460"/>
    </row>
    <row r="719" ht="15.75" customHeight="1">
      <c r="E719" s="625"/>
      <c r="G719" s="460"/>
      <c r="H719" s="626"/>
      <c r="I719" s="543"/>
      <c r="K719" s="460"/>
      <c r="L719" s="460"/>
    </row>
    <row r="720" ht="15.75" customHeight="1">
      <c r="E720" s="625"/>
      <c r="G720" s="460"/>
      <c r="H720" s="626"/>
      <c r="I720" s="543"/>
      <c r="K720" s="460"/>
      <c r="L720" s="460"/>
    </row>
    <row r="721" ht="15.75" customHeight="1">
      <c r="E721" s="625"/>
      <c r="G721" s="460"/>
      <c r="H721" s="626"/>
      <c r="I721" s="543"/>
      <c r="K721" s="460"/>
      <c r="L721" s="460"/>
    </row>
    <row r="722" ht="15.75" customHeight="1">
      <c r="E722" s="625"/>
      <c r="G722" s="460"/>
      <c r="H722" s="626"/>
      <c r="I722" s="543"/>
      <c r="K722" s="460"/>
      <c r="L722" s="460"/>
    </row>
    <row r="723" ht="15.75" customHeight="1">
      <c r="E723" s="625"/>
      <c r="G723" s="460"/>
      <c r="H723" s="626"/>
      <c r="I723" s="543"/>
      <c r="K723" s="460"/>
      <c r="L723" s="460"/>
    </row>
    <row r="724" ht="15.75" customHeight="1">
      <c r="E724" s="625"/>
      <c r="G724" s="460"/>
      <c r="H724" s="626"/>
      <c r="I724" s="543"/>
      <c r="K724" s="460"/>
      <c r="L724" s="460"/>
    </row>
    <row r="725" ht="15.75" customHeight="1">
      <c r="E725" s="625"/>
      <c r="G725" s="460"/>
      <c r="H725" s="626"/>
      <c r="I725" s="543"/>
      <c r="K725" s="460"/>
      <c r="L725" s="460"/>
    </row>
    <row r="726" ht="15.75" customHeight="1">
      <c r="E726" s="625"/>
      <c r="G726" s="460"/>
      <c r="H726" s="626"/>
      <c r="I726" s="543"/>
      <c r="K726" s="460"/>
      <c r="L726" s="460"/>
    </row>
    <row r="727" ht="15.75" customHeight="1">
      <c r="E727" s="625"/>
      <c r="G727" s="460"/>
      <c r="H727" s="626"/>
      <c r="I727" s="543"/>
      <c r="K727" s="460"/>
      <c r="L727" s="460"/>
    </row>
    <row r="728" ht="15.75" customHeight="1">
      <c r="E728" s="625"/>
      <c r="G728" s="460"/>
      <c r="H728" s="626"/>
      <c r="I728" s="543"/>
      <c r="K728" s="460"/>
      <c r="L728" s="460"/>
    </row>
    <row r="729" ht="15.75" customHeight="1">
      <c r="E729" s="625"/>
      <c r="G729" s="460"/>
      <c r="H729" s="626"/>
      <c r="I729" s="543"/>
      <c r="K729" s="460"/>
      <c r="L729" s="460"/>
    </row>
    <row r="730" ht="15.75" customHeight="1">
      <c r="E730" s="625"/>
      <c r="G730" s="460"/>
      <c r="H730" s="626"/>
      <c r="I730" s="543"/>
      <c r="K730" s="460"/>
      <c r="L730" s="460"/>
    </row>
    <row r="731" ht="15.75" customHeight="1">
      <c r="E731" s="625"/>
      <c r="G731" s="460"/>
      <c r="H731" s="626"/>
      <c r="I731" s="543"/>
      <c r="K731" s="460"/>
      <c r="L731" s="460"/>
    </row>
    <row r="732" ht="15.75" customHeight="1">
      <c r="E732" s="625"/>
      <c r="G732" s="460"/>
      <c r="H732" s="626"/>
      <c r="I732" s="543"/>
      <c r="K732" s="460"/>
      <c r="L732" s="460"/>
    </row>
    <row r="733" ht="15.75" customHeight="1">
      <c r="E733" s="625"/>
      <c r="G733" s="460"/>
      <c r="H733" s="626"/>
      <c r="I733" s="543"/>
      <c r="K733" s="460"/>
      <c r="L733" s="460"/>
    </row>
    <row r="734" ht="15.75" customHeight="1">
      <c r="E734" s="625"/>
      <c r="G734" s="460"/>
      <c r="H734" s="626"/>
      <c r="I734" s="543"/>
      <c r="K734" s="460"/>
      <c r="L734" s="460"/>
    </row>
    <row r="735" ht="15.75" customHeight="1">
      <c r="E735" s="625"/>
      <c r="G735" s="460"/>
      <c r="H735" s="626"/>
      <c r="I735" s="543"/>
      <c r="K735" s="460"/>
      <c r="L735" s="460"/>
    </row>
    <row r="736" ht="15.75" customHeight="1">
      <c r="E736" s="625"/>
      <c r="G736" s="460"/>
      <c r="H736" s="626"/>
      <c r="I736" s="543"/>
      <c r="K736" s="460"/>
      <c r="L736" s="460"/>
    </row>
    <row r="737" ht="15.75" customHeight="1">
      <c r="E737" s="625"/>
      <c r="G737" s="460"/>
      <c r="H737" s="626"/>
      <c r="I737" s="543"/>
      <c r="K737" s="460"/>
      <c r="L737" s="460"/>
    </row>
    <row r="738" ht="15.75" customHeight="1">
      <c r="E738" s="625"/>
      <c r="G738" s="460"/>
      <c r="H738" s="626"/>
      <c r="I738" s="543"/>
      <c r="K738" s="460"/>
      <c r="L738" s="460"/>
    </row>
    <row r="739" ht="15.75" customHeight="1">
      <c r="E739" s="625"/>
      <c r="G739" s="460"/>
      <c r="H739" s="626"/>
      <c r="I739" s="543"/>
      <c r="K739" s="460"/>
      <c r="L739" s="460"/>
    </row>
    <row r="740" ht="15.75" customHeight="1">
      <c r="E740" s="625"/>
      <c r="G740" s="460"/>
      <c r="H740" s="626"/>
      <c r="I740" s="543"/>
      <c r="K740" s="460"/>
      <c r="L740" s="460"/>
    </row>
    <row r="741" ht="15.75" customHeight="1">
      <c r="E741" s="625"/>
      <c r="G741" s="460"/>
      <c r="H741" s="626"/>
      <c r="I741" s="543"/>
      <c r="K741" s="460"/>
      <c r="L741" s="460"/>
    </row>
    <row r="742" ht="15.75" customHeight="1">
      <c r="E742" s="625"/>
      <c r="G742" s="460"/>
      <c r="H742" s="626"/>
      <c r="I742" s="543"/>
      <c r="K742" s="460"/>
      <c r="L742" s="460"/>
    </row>
    <row r="743" ht="15.75" customHeight="1">
      <c r="E743" s="625"/>
      <c r="G743" s="460"/>
      <c r="H743" s="626"/>
      <c r="I743" s="543"/>
      <c r="K743" s="460"/>
      <c r="L743" s="460"/>
    </row>
    <row r="744" ht="15.75" customHeight="1">
      <c r="E744" s="625"/>
      <c r="G744" s="460"/>
      <c r="H744" s="626"/>
      <c r="I744" s="543"/>
      <c r="K744" s="460"/>
      <c r="L744" s="460"/>
    </row>
    <row r="745" ht="15.75" customHeight="1">
      <c r="E745" s="625"/>
      <c r="G745" s="460"/>
      <c r="H745" s="626"/>
      <c r="I745" s="543"/>
      <c r="K745" s="460"/>
      <c r="L745" s="460"/>
    </row>
    <row r="746" ht="15.75" customHeight="1">
      <c r="E746" s="625"/>
      <c r="G746" s="460"/>
      <c r="H746" s="626"/>
      <c r="I746" s="543"/>
      <c r="K746" s="460"/>
      <c r="L746" s="460"/>
    </row>
    <row r="747" ht="15.75" customHeight="1">
      <c r="E747" s="625"/>
      <c r="G747" s="460"/>
      <c r="H747" s="626"/>
      <c r="I747" s="543"/>
      <c r="K747" s="460"/>
      <c r="L747" s="460"/>
    </row>
    <row r="748" ht="15.75" customHeight="1">
      <c r="E748" s="625"/>
      <c r="G748" s="460"/>
      <c r="H748" s="626"/>
      <c r="I748" s="543"/>
      <c r="K748" s="460"/>
      <c r="L748" s="460"/>
    </row>
    <row r="749" ht="15.75" customHeight="1">
      <c r="E749" s="625"/>
      <c r="G749" s="460"/>
      <c r="H749" s="626"/>
      <c r="I749" s="543"/>
      <c r="K749" s="460"/>
      <c r="L749" s="460"/>
    </row>
    <row r="750" ht="15.75" customHeight="1">
      <c r="E750" s="625"/>
      <c r="G750" s="460"/>
      <c r="H750" s="626"/>
      <c r="I750" s="543"/>
      <c r="K750" s="460"/>
      <c r="L750" s="460"/>
    </row>
    <row r="751" ht="15.75" customHeight="1">
      <c r="E751" s="625"/>
      <c r="G751" s="460"/>
      <c r="H751" s="626"/>
      <c r="I751" s="543"/>
      <c r="K751" s="460"/>
      <c r="L751" s="460"/>
    </row>
    <row r="752" ht="15.75" customHeight="1">
      <c r="E752" s="625"/>
      <c r="G752" s="460"/>
      <c r="H752" s="626"/>
      <c r="I752" s="543"/>
      <c r="K752" s="460"/>
      <c r="L752" s="460"/>
    </row>
    <row r="753" ht="15.75" customHeight="1">
      <c r="E753" s="625"/>
      <c r="G753" s="460"/>
      <c r="H753" s="626"/>
      <c r="I753" s="543"/>
      <c r="K753" s="460"/>
      <c r="L753" s="460"/>
    </row>
    <row r="754" ht="15.75" customHeight="1">
      <c r="E754" s="625"/>
      <c r="G754" s="460"/>
      <c r="H754" s="626"/>
      <c r="I754" s="543"/>
      <c r="K754" s="460"/>
      <c r="L754" s="460"/>
    </row>
    <row r="755" ht="15.75" customHeight="1">
      <c r="E755" s="625"/>
      <c r="G755" s="460"/>
      <c r="H755" s="626"/>
      <c r="I755" s="543"/>
      <c r="K755" s="460"/>
      <c r="L755" s="460"/>
    </row>
    <row r="756" ht="15.75" customHeight="1">
      <c r="E756" s="625"/>
      <c r="G756" s="460"/>
      <c r="H756" s="626"/>
      <c r="I756" s="543"/>
      <c r="K756" s="460"/>
      <c r="L756" s="460"/>
    </row>
    <row r="757" ht="15.75" customHeight="1">
      <c r="E757" s="625"/>
      <c r="G757" s="460"/>
      <c r="H757" s="626"/>
      <c r="I757" s="543"/>
      <c r="K757" s="460"/>
      <c r="L757" s="460"/>
    </row>
    <row r="758" ht="15.75" customHeight="1">
      <c r="E758" s="625"/>
      <c r="G758" s="460"/>
      <c r="H758" s="626"/>
      <c r="I758" s="543"/>
      <c r="K758" s="460"/>
      <c r="L758" s="460"/>
    </row>
    <row r="759" ht="15.75" customHeight="1">
      <c r="E759" s="625"/>
      <c r="G759" s="460"/>
      <c r="H759" s="626"/>
      <c r="I759" s="543"/>
      <c r="K759" s="460"/>
      <c r="L759" s="460"/>
    </row>
    <row r="760" ht="15.75" customHeight="1">
      <c r="E760" s="625"/>
      <c r="G760" s="460"/>
      <c r="H760" s="626"/>
      <c r="I760" s="543"/>
      <c r="K760" s="460"/>
      <c r="L760" s="460"/>
    </row>
    <row r="761" ht="15.75" customHeight="1">
      <c r="E761" s="625"/>
      <c r="G761" s="460"/>
      <c r="H761" s="626"/>
      <c r="I761" s="543"/>
      <c r="K761" s="460"/>
      <c r="L761" s="460"/>
    </row>
    <row r="762" ht="15.75" customHeight="1">
      <c r="E762" s="625"/>
      <c r="G762" s="460"/>
      <c r="H762" s="626"/>
      <c r="I762" s="543"/>
      <c r="K762" s="460"/>
      <c r="L762" s="460"/>
    </row>
    <row r="763" ht="15.75" customHeight="1">
      <c r="E763" s="625"/>
      <c r="G763" s="460"/>
      <c r="H763" s="626"/>
      <c r="I763" s="543"/>
      <c r="K763" s="460"/>
      <c r="L763" s="460"/>
    </row>
    <row r="764" ht="15.75" customHeight="1">
      <c r="E764" s="625"/>
      <c r="G764" s="460"/>
      <c r="H764" s="626"/>
      <c r="I764" s="543"/>
      <c r="K764" s="460"/>
      <c r="L764" s="460"/>
    </row>
    <row r="765" ht="15.75" customHeight="1">
      <c r="E765" s="625"/>
      <c r="G765" s="460"/>
      <c r="H765" s="626"/>
      <c r="I765" s="543"/>
      <c r="K765" s="460"/>
      <c r="L765" s="460"/>
    </row>
    <row r="766" ht="15.75" customHeight="1">
      <c r="E766" s="625"/>
      <c r="G766" s="460"/>
      <c r="H766" s="626"/>
      <c r="I766" s="543"/>
      <c r="K766" s="460"/>
      <c r="L766" s="460"/>
    </row>
    <row r="767" ht="15.75" customHeight="1">
      <c r="E767" s="625"/>
      <c r="G767" s="460"/>
      <c r="H767" s="626"/>
      <c r="I767" s="543"/>
      <c r="K767" s="460"/>
      <c r="L767" s="460"/>
    </row>
    <row r="768" ht="15.75" customHeight="1">
      <c r="E768" s="625"/>
      <c r="G768" s="460"/>
      <c r="H768" s="626"/>
      <c r="I768" s="543"/>
      <c r="K768" s="460"/>
      <c r="L768" s="460"/>
    </row>
    <row r="769" ht="15.75" customHeight="1">
      <c r="E769" s="625"/>
      <c r="G769" s="460"/>
      <c r="H769" s="626"/>
      <c r="I769" s="543"/>
      <c r="K769" s="460"/>
      <c r="L769" s="460"/>
    </row>
    <row r="770" ht="15.75" customHeight="1">
      <c r="E770" s="625"/>
      <c r="G770" s="460"/>
      <c r="H770" s="626"/>
      <c r="I770" s="543"/>
      <c r="K770" s="460"/>
      <c r="L770" s="460"/>
    </row>
    <row r="771" ht="15.75" customHeight="1">
      <c r="E771" s="625"/>
      <c r="G771" s="460"/>
      <c r="H771" s="626"/>
      <c r="I771" s="543"/>
      <c r="K771" s="460"/>
      <c r="L771" s="460"/>
    </row>
    <row r="772" ht="15.75" customHeight="1">
      <c r="E772" s="625"/>
      <c r="G772" s="460"/>
      <c r="H772" s="626"/>
      <c r="I772" s="543"/>
      <c r="K772" s="460"/>
      <c r="L772" s="460"/>
    </row>
    <row r="773" ht="15.75" customHeight="1">
      <c r="E773" s="625"/>
      <c r="G773" s="460"/>
      <c r="H773" s="626"/>
      <c r="I773" s="543"/>
      <c r="K773" s="460"/>
      <c r="L773" s="460"/>
    </row>
    <row r="774" ht="15.75" customHeight="1">
      <c r="E774" s="625"/>
      <c r="G774" s="460"/>
      <c r="H774" s="626"/>
      <c r="I774" s="543"/>
      <c r="K774" s="460"/>
      <c r="L774" s="460"/>
    </row>
    <row r="775" ht="15.75" customHeight="1">
      <c r="E775" s="625"/>
      <c r="G775" s="460"/>
      <c r="H775" s="626"/>
      <c r="I775" s="543"/>
      <c r="K775" s="460"/>
      <c r="L775" s="460"/>
    </row>
    <row r="776" ht="15.75" customHeight="1">
      <c r="E776" s="625"/>
      <c r="G776" s="460"/>
      <c r="H776" s="626"/>
      <c r="I776" s="543"/>
      <c r="K776" s="460"/>
      <c r="L776" s="460"/>
    </row>
    <row r="777" ht="15.75" customHeight="1">
      <c r="E777" s="625"/>
      <c r="G777" s="460"/>
      <c r="H777" s="626"/>
      <c r="I777" s="543"/>
      <c r="K777" s="460"/>
      <c r="L777" s="460"/>
    </row>
    <row r="778" ht="15.75" customHeight="1">
      <c r="E778" s="625"/>
      <c r="G778" s="460"/>
      <c r="H778" s="626"/>
      <c r="I778" s="543"/>
      <c r="K778" s="460"/>
      <c r="L778" s="460"/>
    </row>
    <row r="779" ht="15.75" customHeight="1">
      <c r="E779" s="625"/>
      <c r="G779" s="460"/>
      <c r="H779" s="626"/>
      <c r="I779" s="543"/>
      <c r="K779" s="460"/>
      <c r="L779" s="460"/>
    </row>
    <row r="780" ht="15.75" customHeight="1">
      <c r="E780" s="625"/>
      <c r="G780" s="460"/>
      <c r="H780" s="626"/>
      <c r="I780" s="543"/>
      <c r="K780" s="460"/>
      <c r="L780" s="460"/>
    </row>
    <row r="781" ht="15.75" customHeight="1">
      <c r="E781" s="625"/>
      <c r="G781" s="460"/>
      <c r="H781" s="626"/>
      <c r="I781" s="543"/>
      <c r="K781" s="460"/>
      <c r="L781" s="460"/>
    </row>
    <row r="782" ht="15.75" customHeight="1">
      <c r="E782" s="625"/>
      <c r="G782" s="460"/>
      <c r="H782" s="626"/>
      <c r="I782" s="543"/>
      <c r="K782" s="460"/>
      <c r="L782" s="460"/>
    </row>
    <row r="783" ht="15.75" customHeight="1">
      <c r="E783" s="625"/>
      <c r="G783" s="460"/>
      <c r="H783" s="626"/>
      <c r="I783" s="543"/>
      <c r="K783" s="460"/>
      <c r="L783" s="460"/>
    </row>
    <row r="784" ht="15.75" customHeight="1">
      <c r="E784" s="625"/>
      <c r="G784" s="460"/>
      <c r="H784" s="626"/>
      <c r="I784" s="543"/>
      <c r="K784" s="460"/>
      <c r="L784" s="460"/>
    </row>
    <row r="785" ht="15.75" customHeight="1">
      <c r="E785" s="625"/>
      <c r="G785" s="460"/>
      <c r="H785" s="626"/>
      <c r="I785" s="543"/>
      <c r="K785" s="460"/>
      <c r="L785" s="460"/>
    </row>
    <row r="786" ht="15.75" customHeight="1">
      <c r="E786" s="625"/>
      <c r="G786" s="460"/>
      <c r="H786" s="626"/>
      <c r="I786" s="543"/>
      <c r="K786" s="460"/>
      <c r="L786" s="460"/>
    </row>
    <row r="787" ht="15.75" customHeight="1">
      <c r="E787" s="625"/>
      <c r="G787" s="460"/>
      <c r="H787" s="626"/>
      <c r="I787" s="543"/>
      <c r="K787" s="460"/>
      <c r="L787" s="460"/>
    </row>
    <row r="788" ht="15.75" customHeight="1">
      <c r="E788" s="625"/>
      <c r="G788" s="460"/>
      <c r="H788" s="626"/>
      <c r="I788" s="543"/>
      <c r="K788" s="460"/>
      <c r="L788" s="460"/>
    </row>
    <row r="789" ht="15.75" customHeight="1">
      <c r="E789" s="625"/>
      <c r="G789" s="460"/>
      <c r="H789" s="626"/>
      <c r="I789" s="543"/>
      <c r="K789" s="460"/>
      <c r="L789" s="460"/>
    </row>
    <row r="790" ht="15.75" customHeight="1">
      <c r="E790" s="625"/>
      <c r="G790" s="460"/>
      <c r="H790" s="626"/>
      <c r="I790" s="543"/>
      <c r="K790" s="460"/>
      <c r="L790" s="460"/>
    </row>
    <row r="791" ht="15.75" customHeight="1">
      <c r="E791" s="625"/>
      <c r="G791" s="460"/>
      <c r="H791" s="626"/>
      <c r="I791" s="543"/>
      <c r="K791" s="460"/>
      <c r="L791" s="460"/>
    </row>
    <row r="792" ht="15.75" customHeight="1">
      <c r="E792" s="625"/>
      <c r="G792" s="460"/>
      <c r="H792" s="626"/>
      <c r="I792" s="543"/>
      <c r="K792" s="460"/>
      <c r="L792" s="460"/>
    </row>
    <row r="793" ht="15.75" customHeight="1">
      <c r="E793" s="625"/>
      <c r="G793" s="460"/>
      <c r="H793" s="626"/>
      <c r="I793" s="543"/>
      <c r="K793" s="460"/>
      <c r="L793" s="460"/>
    </row>
    <row r="794" ht="15.75" customHeight="1">
      <c r="E794" s="625"/>
      <c r="G794" s="460"/>
      <c r="H794" s="626"/>
      <c r="I794" s="543"/>
      <c r="K794" s="460"/>
      <c r="L794" s="460"/>
    </row>
    <row r="795" ht="15.75" customHeight="1">
      <c r="E795" s="625"/>
      <c r="G795" s="460"/>
      <c r="H795" s="626"/>
      <c r="I795" s="543"/>
      <c r="K795" s="460"/>
      <c r="L795" s="460"/>
    </row>
    <row r="796" ht="15.75" customHeight="1">
      <c r="E796" s="625"/>
      <c r="G796" s="460"/>
      <c r="H796" s="626"/>
      <c r="I796" s="543"/>
      <c r="K796" s="460"/>
      <c r="L796" s="460"/>
    </row>
    <row r="797" ht="15.75" customHeight="1">
      <c r="E797" s="625"/>
      <c r="G797" s="460"/>
      <c r="H797" s="626"/>
      <c r="I797" s="543"/>
      <c r="K797" s="460"/>
      <c r="L797" s="460"/>
    </row>
    <row r="798" ht="15.75" customHeight="1">
      <c r="E798" s="625"/>
      <c r="G798" s="460"/>
      <c r="H798" s="626"/>
      <c r="I798" s="543"/>
      <c r="K798" s="460"/>
      <c r="L798" s="460"/>
    </row>
    <row r="799" ht="15.75" customHeight="1">
      <c r="E799" s="625"/>
      <c r="G799" s="460"/>
      <c r="H799" s="626"/>
      <c r="I799" s="543"/>
      <c r="K799" s="460"/>
      <c r="L799" s="460"/>
    </row>
    <row r="800" ht="15.75" customHeight="1">
      <c r="E800" s="625"/>
      <c r="G800" s="460"/>
      <c r="H800" s="626"/>
      <c r="I800" s="543"/>
      <c r="K800" s="460"/>
      <c r="L800" s="460"/>
    </row>
    <row r="801" ht="15.75" customHeight="1">
      <c r="E801" s="625"/>
      <c r="G801" s="460"/>
      <c r="H801" s="626"/>
      <c r="I801" s="543"/>
      <c r="K801" s="460"/>
      <c r="L801" s="460"/>
    </row>
    <row r="802" ht="15.75" customHeight="1">
      <c r="E802" s="625"/>
      <c r="G802" s="460"/>
      <c r="H802" s="626"/>
      <c r="I802" s="543"/>
      <c r="K802" s="460"/>
      <c r="L802" s="460"/>
    </row>
    <row r="803" ht="15.75" customHeight="1">
      <c r="E803" s="625"/>
      <c r="G803" s="460"/>
      <c r="H803" s="626"/>
      <c r="I803" s="543"/>
      <c r="K803" s="460"/>
      <c r="L803" s="460"/>
    </row>
    <row r="804" ht="15.75" customHeight="1">
      <c r="E804" s="625"/>
      <c r="G804" s="460"/>
      <c r="H804" s="626"/>
      <c r="I804" s="543"/>
      <c r="K804" s="460"/>
      <c r="L804" s="460"/>
    </row>
    <row r="805" ht="15.75" customHeight="1">
      <c r="E805" s="625"/>
      <c r="G805" s="460"/>
      <c r="H805" s="626"/>
      <c r="I805" s="543"/>
      <c r="K805" s="460"/>
      <c r="L805" s="460"/>
    </row>
    <row r="806" ht="15.75" customHeight="1">
      <c r="E806" s="625"/>
      <c r="G806" s="460"/>
      <c r="H806" s="626"/>
      <c r="I806" s="543"/>
      <c r="K806" s="460"/>
      <c r="L806" s="460"/>
    </row>
    <row r="807" ht="15.75" customHeight="1">
      <c r="E807" s="625"/>
      <c r="G807" s="460"/>
      <c r="H807" s="626"/>
      <c r="I807" s="543"/>
      <c r="K807" s="460"/>
      <c r="L807" s="460"/>
    </row>
    <row r="808" ht="15.75" customHeight="1">
      <c r="E808" s="625"/>
      <c r="G808" s="460"/>
      <c r="H808" s="626"/>
      <c r="I808" s="543"/>
      <c r="K808" s="460"/>
      <c r="L808" s="460"/>
    </row>
    <row r="809" ht="15.75" customHeight="1">
      <c r="E809" s="625"/>
      <c r="G809" s="460"/>
      <c r="H809" s="626"/>
      <c r="I809" s="543"/>
      <c r="K809" s="460"/>
      <c r="L809" s="460"/>
    </row>
    <row r="810" ht="15.75" customHeight="1">
      <c r="E810" s="625"/>
      <c r="G810" s="460"/>
      <c r="H810" s="626"/>
      <c r="I810" s="543"/>
      <c r="K810" s="460"/>
      <c r="L810" s="460"/>
    </row>
    <row r="811" ht="15.75" customHeight="1">
      <c r="E811" s="625"/>
      <c r="G811" s="460"/>
      <c r="H811" s="626"/>
      <c r="I811" s="543"/>
      <c r="K811" s="460"/>
      <c r="L811" s="460"/>
    </row>
    <row r="812" ht="15.75" customHeight="1">
      <c r="E812" s="625"/>
      <c r="G812" s="460"/>
      <c r="H812" s="626"/>
      <c r="I812" s="543"/>
      <c r="K812" s="460"/>
      <c r="L812" s="460"/>
    </row>
    <row r="813" ht="15.75" customHeight="1">
      <c r="E813" s="625"/>
      <c r="G813" s="460"/>
      <c r="H813" s="626"/>
      <c r="I813" s="543"/>
      <c r="K813" s="460"/>
      <c r="L813" s="460"/>
    </row>
    <row r="814" ht="15.75" customHeight="1">
      <c r="E814" s="625"/>
      <c r="G814" s="460"/>
      <c r="H814" s="626"/>
      <c r="I814" s="543"/>
      <c r="K814" s="460"/>
      <c r="L814" s="460"/>
    </row>
    <row r="815" ht="15.75" customHeight="1">
      <c r="E815" s="625"/>
      <c r="G815" s="460"/>
      <c r="H815" s="626"/>
      <c r="I815" s="543"/>
      <c r="K815" s="460"/>
      <c r="L815" s="460"/>
    </row>
    <row r="816" ht="15.75" customHeight="1">
      <c r="E816" s="625"/>
      <c r="G816" s="460"/>
      <c r="H816" s="626"/>
      <c r="I816" s="543"/>
      <c r="K816" s="460"/>
      <c r="L816" s="460"/>
    </row>
    <row r="817" ht="15.75" customHeight="1">
      <c r="E817" s="625"/>
      <c r="G817" s="460"/>
      <c r="H817" s="626"/>
      <c r="I817" s="543"/>
      <c r="K817" s="460"/>
      <c r="L817" s="460"/>
    </row>
    <row r="818" ht="15.75" customHeight="1">
      <c r="E818" s="625"/>
      <c r="G818" s="460"/>
      <c r="H818" s="626"/>
      <c r="I818" s="543"/>
      <c r="K818" s="460"/>
      <c r="L818" s="460"/>
    </row>
    <row r="819" ht="15.75" customHeight="1">
      <c r="E819" s="625"/>
      <c r="G819" s="460"/>
      <c r="H819" s="626"/>
      <c r="I819" s="543"/>
      <c r="K819" s="460"/>
      <c r="L819" s="460"/>
    </row>
    <row r="820" ht="15.75" customHeight="1">
      <c r="E820" s="625"/>
      <c r="G820" s="460"/>
      <c r="H820" s="626"/>
      <c r="I820" s="543"/>
      <c r="K820" s="460"/>
      <c r="L820" s="460"/>
    </row>
    <row r="821" ht="15.75" customHeight="1">
      <c r="E821" s="625"/>
      <c r="G821" s="460"/>
      <c r="H821" s="626"/>
      <c r="I821" s="543"/>
      <c r="K821" s="460"/>
      <c r="L821" s="460"/>
    </row>
    <row r="822" ht="15.75" customHeight="1">
      <c r="E822" s="625"/>
      <c r="G822" s="460"/>
      <c r="H822" s="626"/>
      <c r="I822" s="543"/>
      <c r="K822" s="460"/>
      <c r="L822" s="460"/>
    </row>
    <row r="823" ht="15.75" customHeight="1">
      <c r="E823" s="625"/>
      <c r="G823" s="460"/>
      <c r="H823" s="626"/>
      <c r="I823" s="543"/>
      <c r="K823" s="460"/>
      <c r="L823" s="460"/>
    </row>
    <row r="824" ht="15.75" customHeight="1">
      <c r="E824" s="625"/>
      <c r="G824" s="460"/>
      <c r="H824" s="626"/>
      <c r="I824" s="543"/>
      <c r="K824" s="460"/>
      <c r="L824" s="460"/>
    </row>
    <row r="825" ht="15.75" customHeight="1">
      <c r="E825" s="625"/>
      <c r="G825" s="460"/>
      <c r="H825" s="626"/>
      <c r="I825" s="543"/>
      <c r="K825" s="460"/>
      <c r="L825" s="460"/>
    </row>
    <row r="826" ht="15.75" customHeight="1">
      <c r="E826" s="625"/>
      <c r="G826" s="460"/>
      <c r="H826" s="626"/>
      <c r="I826" s="543"/>
      <c r="K826" s="460"/>
      <c r="L826" s="460"/>
    </row>
    <row r="827" ht="15.75" customHeight="1">
      <c r="E827" s="625"/>
      <c r="G827" s="460"/>
      <c r="H827" s="626"/>
      <c r="I827" s="543"/>
      <c r="K827" s="460"/>
      <c r="L827" s="460"/>
    </row>
    <row r="828" ht="15.75" customHeight="1">
      <c r="E828" s="625"/>
      <c r="G828" s="460"/>
      <c r="H828" s="626"/>
      <c r="I828" s="543"/>
      <c r="K828" s="460"/>
      <c r="L828" s="460"/>
    </row>
    <row r="829" ht="15.75" customHeight="1">
      <c r="E829" s="625"/>
      <c r="G829" s="460"/>
      <c r="H829" s="626"/>
      <c r="I829" s="543"/>
      <c r="K829" s="460"/>
      <c r="L829" s="460"/>
    </row>
    <row r="830" ht="15.75" customHeight="1">
      <c r="E830" s="625"/>
      <c r="G830" s="460"/>
      <c r="H830" s="626"/>
      <c r="I830" s="543"/>
      <c r="K830" s="460"/>
      <c r="L830" s="460"/>
    </row>
    <row r="831" ht="15.75" customHeight="1">
      <c r="E831" s="625"/>
      <c r="G831" s="460"/>
      <c r="H831" s="626"/>
      <c r="I831" s="543"/>
      <c r="K831" s="460"/>
      <c r="L831" s="460"/>
    </row>
    <row r="832" ht="15.75" customHeight="1">
      <c r="E832" s="625"/>
      <c r="G832" s="460"/>
      <c r="H832" s="626"/>
      <c r="I832" s="543"/>
      <c r="K832" s="460"/>
      <c r="L832" s="460"/>
    </row>
    <row r="833" ht="15.75" customHeight="1">
      <c r="E833" s="625"/>
      <c r="G833" s="460"/>
      <c r="H833" s="626"/>
      <c r="I833" s="543"/>
      <c r="K833" s="460"/>
      <c r="L833" s="460"/>
    </row>
    <row r="834" ht="15.75" customHeight="1">
      <c r="E834" s="625"/>
      <c r="G834" s="460"/>
      <c r="H834" s="626"/>
      <c r="I834" s="543"/>
      <c r="K834" s="460"/>
      <c r="L834" s="460"/>
    </row>
    <row r="835" ht="15.75" customHeight="1">
      <c r="E835" s="625"/>
      <c r="G835" s="460"/>
      <c r="H835" s="626"/>
      <c r="I835" s="543"/>
      <c r="K835" s="460"/>
      <c r="L835" s="460"/>
    </row>
    <row r="836" ht="15.75" customHeight="1">
      <c r="E836" s="625"/>
      <c r="G836" s="460"/>
      <c r="H836" s="626"/>
      <c r="I836" s="543"/>
      <c r="K836" s="460"/>
      <c r="L836" s="460"/>
    </row>
    <row r="837" ht="15.75" customHeight="1">
      <c r="E837" s="625"/>
      <c r="G837" s="460"/>
      <c r="H837" s="626"/>
      <c r="I837" s="543"/>
      <c r="K837" s="460"/>
      <c r="L837" s="460"/>
    </row>
    <row r="838" ht="15.75" customHeight="1">
      <c r="E838" s="625"/>
      <c r="G838" s="460"/>
      <c r="H838" s="626"/>
      <c r="I838" s="543"/>
      <c r="K838" s="460"/>
      <c r="L838" s="460"/>
    </row>
    <row r="839" ht="15.75" customHeight="1">
      <c r="E839" s="625"/>
      <c r="G839" s="460"/>
      <c r="H839" s="626"/>
      <c r="I839" s="543"/>
      <c r="K839" s="460"/>
      <c r="L839" s="460"/>
    </row>
    <row r="840" ht="15.75" customHeight="1">
      <c r="E840" s="625"/>
      <c r="G840" s="460"/>
      <c r="H840" s="626"/>
      <c r="I840" s="543"/>
      <c r="K840" s="460"/>
      <c r="L840" s="460"/>
    </row>
    <row r="841" ht="15.75" customHeight="1">
      <c r="E841" s="625"/>
      <c r="G841" s="460"/>
      <c r="H841" s="626"/>
      <c r="I841" s="543"/>
      <c r="K841" s="460"/>
      <c r="L841" s="460"/>
    </row>
    <row r="842" ht="15.75" customHeight="1">
      <c r="E842" s="625"/>
      <c r="G842" s="460"/>
      <c r="H842" s="626"/>
      <c r="I842" s="543"/>
      <c r="K842" s="460"/>
      <c r="L842" s="460"/>
    </row>
    <row r="843" ht="15.75" customHeight="1">
      <c r="E843" s="625"/>
      <c r="G843" s="460"/>
      <c r="H843" s="626"/>
      <c r="I843" s="543"/>
      <c r="K843" s="460"/>
      <c r="L843" s="460"/>
    </row>
    <row r="844" ht="15.75" customHeight="1">
      <c r="E844" s="625"/>
      <c r="G844" s="460"/>
      <c r="H844" s="626"/>
      <c r="I844" s="543"/>
      <c r="K844" s="460"/>
      <c r="L844" s="460"/>
    </row>
    <row r="845" ht="15.75" customHeight="1">
      <c r="E845" s="625"/>
      <c r="G845" s="460"/>
      <c r="H845" s="626"/>
      <c r="I845" s="543"/>
      <c r="K845" s="460"/>
      <c r="L845" s="460"/>
    </row>
    <row r="846" ht="15.75" customHeight="1">
      <c r="E846" s="625"/>
      <c r="G846" s="460"/>
      <c r="H846" s="626"/>
      <c r="I846" s="543"/>
      <c r="K846" s="460"/>
      <c r="L846" s="460"/>
    </row>
    <row r="847" ht="15.75" customHeight="1">
      <c r="E847" s="625"/>
      <c r="G847" s="460"/>
      <c r="H847" s="626"/>
      <c r="I847" s="543"/>
      <c r="K847" s="460"/>
      <c r="L847" s="460"/>
    </row>
    <row r="848" ht="15.75" customHeight="1">
      <c r="E848" s="625"/>
      <c r="G848" s="460"/>
      <c r="H848" s="626"/>
      <c r="I848" s="543"/>
      <c r="K848" s="460"/>
      <c r="L848" s="460"/>
    </row>
    <row r="849" ht="15.75" customHeight="1">
      <c r="E849" s="625"/>
      <c r="G849" s="460"/>
      <c r="H849" s="626"/>
      <c r="I849" s="543"/>
      <c r="K849" s="460"/>
      <c r="L849" s="460"/>
    </row>
    <row r="850" ht="15.75" customHeight="1">
      <c r="E850" s="625"/>
      <c r="G850" s="460"/>
      <c r="H850" s="626"/>
      <c r="I850" s="543"/>
      <c r="K850" s="460"/>
      <c r="L850" s="460"/>
    </row>
    <row r="851" ht="15.75" customHeight="1">
      <c r="E851" s="625"/>
      <c r="G851" s="460"/>
      <c r="H851" s="626"/>
      <c r="I851" s="543"/>
      <c r="K851" s="460"/>
      <c r="L851" s="460"/>
    </row>
    <row r="852" ht="15.75" customHeight="1">
      <c r="E852" s="625"/>
      <c r="G852" s="460"/>
      <c r="H852" s="626"/>
      <c r="I852" s="543"/>
      <c r="K852" s="460"/>
      <c r="L852" s="460"/>
    </row>
    <row r="853" ht="15.75" customHeight="1">
      <c r="E853" s="625"/>
      <c r="G853" s="460"/>
      <c r="H853" s="626"/>
      <c r="I853" s="543"/>
      <c r="K853" s="460"/>
      <c r="L853" s="460"/>
    </row>
    <row r="854" ht="15.75" customHeight="1">
      <c r="E854" s="625"/>
      <c r="G854" s="460"/>
      <c r="H854" s="626"/>
      <c r="I854" s="543"/>
      <c r="K854" s="460"/>
      <c r="L854" s="460"/>
    </row>
    <row r="855" ht="15.75" customHeight="1">
      <c r="E855" s="625"/>
      <c r="G855" s="460"/>
      <c r="H855" s="626"/>
      <c r="I855" s="543"/>
      <c r="K855" s="460"/>
      <c r="L855" s="460"/>
    </row>
    <row r="856" ht="15.75" customHeight="1">
      <c r="E856" s="625"/>
      <c r="G856" s="460"/>
      <c r="H856" s="626"/>
      <c r="I856" s="543"/>
      <c r="K856" s="460"/>
      <c r="L856" s="460"/>
    </row>
    <row r="857" ht="15.75" customHeight="1">
      <c r="E857" s="625"/>
      <c r="G857" s="460"/>
      <c r="H857" s="626"/>
      <c r="I857" s="543"/>
      <c r="K857" s="460"/>
      <c r="L857" s="460"/>
    </row>
    <row r="858" ht="15.75" customHeight="1">
      <c r="E858" s="625"/>
      <c r="G858" s="460"/>
      <c r="H858" s="626"/>
      <c r="I858" s="543"/>
      <c r="K858" s="460"/>
      <c r="L858" s="460"/>
    </row>
    <row r="859" ht="15.75" customHeight="1">
      <c r="E859" s="625"/>
      <c r="G859" s="460"/>
      <c r="H859" s="626"/>
      <c r="I859" s="543"/>
      <c r="K859" s="460"/>
      <c r="L859" s="460"/>
    </row>
    <row r="860" ht="15.75" customHeight="1">
      <c r="E860" s="625"/>
      <c r="G860" s="460"/>
      <c r="H860" s="626"/>
      <c r="I860" s="543"/>
      <c r="K860" s="460"/>
      <c r="L860" s="460"/>
    </row>
    <row r="861" ht="15.75" customHeight="1">
      <c r="E861" s="625"/>
      <c r="G861" s="460"/>
      <c r="H861" s="626"/>
      <c r="I861" s="543"/>
      <c r="K861" s="460"/>
      <c r="L861" s="460"/>
    </row>
    <row r="862" ht="15.75" customHeight="1">
      <c r="E862" s="625"/>
      <c r="G862" s="460"/>
      <c r="H862" s="626"/>
      <c r="I862" s="543"/>
      <c r="K862" s="460"/>
      <c r="L862" s="460"/>
    </row>
    <row r="863" ht="15.75" customHeight="1">
      <c r="E863" s="625"/>
      <c r="G863" s="460"/>
      <c r="H863" s="626"/>
      <c r="I863" s="543"/>
      <c r="K863" s="460"/>
      <c r="L863" s="460"/>
    </row>
    <row r="864" ht="15.75" customHeight="1">
      <c r="E864" s="625"/>
      <c r="G864" s="460"/>
      <c r="H864" s="626"/>
      <c r="I864" s="543"/>
      <c r="K864" s="460"/>
      <c r="L864" s="460"/>
    </row>
    <row r="865" ht="15.75" customHeight="1">
      <c r="E865" s="625"/>
      <c r="G865" s="460"/>
      <c r="H865" s="626"/>
      <c r="I865" s="543"/>
      <c r="K865" s="460"/>
      <c r="L865" s="460"/>
    </row>
    <row r="866" ht="15.75" customHeight="1">
      <c r="E866" s="625"/>
      <c r="G866" s="460"/>
      <c r="H866" s="626"/>
      <c r="I866" s="543"/>
      <c r="K866" s="460"/>
      <c r="L866" s="460"/>
    </row>
    <row r="867" ht="15.75" customHeight="1">
      <c r="E867" s="625"/>
      <c r="G867" s="460"/>
      <c r="H867" s="626"/>
      <c r="I867" s="543"/>
      <c r="K867" s="460"/>
      <c r="L867" s="460"/>
    </row>
    <row r="868" ht="15.75" customHeight="1">
      <c r="E868" s="625"/>
      <c r="G868" s="460"/>
      <c r="H868" s="626"/>
      <c r="I868" s="543"/>
      <c r="K868" s="460"/>
      <c r="L868" s="460"/>
    </row>
    <row r="869" ht="15.75" customHeight="1">
      <c r="E869" s="625"/>
      <c r="G869" s="460"/>
      <c r="H869" s="626"/>
      <c r="I869" s="543"/>
      <c r="K869" s="460"/>
      <c r="L869" s="460"/>
    </row>
    <row r="870" ht="15.75" customHeight="1">
      <c r="E870" s="625"/>
      <c r="G870" s="460"/>
      <c r="H870" s="626"/>
      <c r="I870" s="543"/>
      <c r="K870" s="460"/>
      <c r="L870" s="460"/>
    </row>
    <row r="871" ht="15.75" customHeight="1">
      <c r="E871" s="625"/>
      <c r="G871" s="460"/>
      <c r="H871" s="626"/>
      <c r="I871" s="543"/>
      <c r="K871" s="460"/>
      <c r="L871" s="460"/>
    </row>
    <row r="872" ht="15.75" customHeight="1">
      <c r="E872" s="625"/>
      <c r="G872" s="460"/>
      <c r="H872" s="626"/>
      <c r="I872" s="543"/>
      <c r="K872" s="460"/>
      <c r="L872" s="460"/>
    </row>
    <row r="873" ht="15.75" customHeight="1">
      <c r="E873" s="625"/>
      <c r="G873" s="460"/>
      <c r="H873" s="626"/>
      <c r="I873" s="543"/>
      <c r="K873" s="460"/>
      <c r="L873" s="460"/>
    </row>
    <row r="874" ht="15.75" customHeight="1">
      <c r="E874" s="625"/>
      <c r="G874" s="460"/>
      <c r="H874" s="626"/>
      <c r="I874" s="543"/>
      <c r="K874" s="460"/>
      <c r="L874" s="460"/>
    </row>
    <row r="875" ht="15.75" customHeight="1">
      <c r="E875" s="625"/>
      <c r="G875" s="460"/>
      <c r="H875" s="626"/>
      <c r="I875" s="543"/>
      <c r="K875" s="460"/>
      <c r="L875" s="460"/>
    </row>
    <row r="876" ht="15.75" customHeight="1">
      <c r="E876" s="625"/>
      <c r="G876" s="460"/>
      <c r="H876" s="626"/>
      <c r="I876" s="543"/>
      <c r="K876" s="460"/>
      <c r="L876" s="460"/>
    </row>
    <row r="877" ht="15.75" customHeight="1">
      <c r="E877" s="625"/>
      <c r="G877" s="460"/>
      <c r="H877" s="626"/>
      <c r="I877" s="543"/>
      <c r="K877" s="460"/>
      <c r="L877" s="460"/>
    </row>
    <row r="878" ht="15.75" customHeight="1">
      <c r="E878" s="625"/>
      <c r="G878" s="460"/>
      <c r="H878" s="626"/>
      <c r="I878" s="543"/>
      <c r="K878" s="460"/>
      <c r="L878" s="460"/>
    </row>
    <row r="879" ht="15.75" customHeight="1">
      <c r="E879" s="625"/>
      <c r="G879" s="460"/>
      <c r="H879" s="626"/>
      <c r="I879" s="543"/>
      <c r="K879" s="460"/>
      <c r="L879" s="460"/>
    </row>
    <row r="880" ht="15.75" customHeight="1">
      <c r="E880" s="625"/>
      <c r="G880" s="460"/>
      <c r="H880" s="626"/>
      <c r="I880" s="543"/>
      <c r="K880" s="460"/>
      <c r="L880" s="460"/>
    </row>
    <row r="881" ht="15.75" customHeight="1">
      <c r="E881" s="625"/>
      <c r="G881" s="460"/>
      <c r="H881" s="626"/>
      <c r="I881" s="543"/>
      <c r="K881" s="460"/>
      <c r="L881" s="460"/>
    </row>
    <row r="882" ht="15.75" customHeight="1">
      <c r="E882" s="625"/>
      <c r="G882" s="460"/>
      <c r="H882" s="626"/>
      <c r="I882" s="543"/>
      <c r="K882" s="460"/>
      <c r="L882" s="460"/>
    </row>
    <row r="883" ht="15.75" customHeight="1">
      <c r="E883" s="625"/>
      <c r="G883" s="460"/>
      <c r="H883" s="626"/>
      <c r="I883" s="543"/>
      <c r="K883" s="460"/>
      <c r="L883" s="460"/>
    </row>
    <row r="884" ht="15.75" customHeight="1">
      <c r="E884" s="625"/>
      <c r="G884" s="460"/>
      <c r="H884" s="626"/>
      <c r="I884" s="543"/>
      <c r="K884" s="460"/>
      <c r="L884" s="460"/>
    </row>
    <row r="885" ht="15.75" customHeight="1">
      <c r="E885" s="625"/>
      <c r="G885" s="460"/>
      <c r="H885" s="626"/>
      <c r="I885" s="543"/>
      <c r="K885" s="460"/>
      <c r="L885" s="460"/>
    </row>
    <row r="886" ht="15.75" customHeight="1">
      <c r="E886" s="625"/>
      <c r="G886" s="460"/>
      <c r="H886" s="626"/>
      <c r="I886" s="543"/>
      <c r="K886" s="460"/>
      <c r="L886" s="460"/>
    </row>
    <row r="887" ht="15.75" customHeight="1">
      <c r="E887" s="625"/>
      <c r="G887" s="460"/>
      <c r="H887" s="626"/>
      <c r="I887" s="543"/>
      <c r="K887" s="460"/>
      <c r="L887" s="460"/>
    </row>
    <row r="888" ht="15.75" customHeight="1">
      <c r="E888" s="625"/>
      <c r="G888" s="460"/>
      <c r="H888" s="626"/>
      <c r="I888" s="543"/>
      <c r="K888" s="460"/>
      <c r="L888" s="460"/>
    </row>
    <row r="889" ht="15.75" customHeight="1">
      <c r="E889" s="625"/>
      <c r="G889" s="460"/>
      <c r="H889" s="626"/>
      <c r="I889" s="543"/>
      <c r="K889" s="460"/>
      <c r="L889" s="460"/>
    </row>
    <row r="890" ht="15.75" customHeight="1">
      <c r="E890" s="625"/>
      <c r="G890" s="460"/>
      <c r="H890" s="626"/>
      <c r="I890" s="543"/>
      <c r="K890" s="460"/>
      <c r="L890" s="460"/>
    </row>
    <row r="891" ht="15.75" customHeight="1">
      <c r="E891" s="625"/>
      <c r="G891" s="460"/>
      <c r="H891" s="626"/>
      <c r="I891" s="543"/>
      <c r="K891" s="460"/>
      <c r="L891" s="460"/>
    </row>
    <row r="892" ht="15.75" customHeight="1">
      <c r="E892" s="625"/>
      <c r="G892" s="460"/>
      <c r="H892" s="626"/>
      <c r="I892" s="543"/>
      <c r="K892" s="460"/>
      <c r="L892" s="460"/>
    </row>
    <row r="893" ht="15.75" customHeight="1">
      <c r="E893" s="625"/>
      <c r="G893" s="460"/>
      <c r="H893" s="626"/>
      <c r="I893" s="543"/>
      <c r="K893" s="460"/>
      <c r="L893" s="460"/>
    </row>
    <row r="894" ht="15.75" customHeight="1">
      <c r="E894" s="625"/>
      <c r="G894" s="460"/>
      <c r="H894" s="626"/>
      <c r="I894" s="543"/>
      <c r="K894" s="460"/>
      <c r="L894" s="460"/>
    </row>
    <row r="895" ht="15.75" customHeight="1">
      <c r="E895" s="625"/>
      <c r="G895" s="460"/>
      <c r="H895" s="626"/>
      <c r="I895" s="543"/>
      <c r="K895" s="460"/>
      <c r="L895" s="460"/>
    </row>
    <row r="896" ht="15.75" customHeight="1">
      <c r="E896" s="625"/>
      <c r="G896" s="460"/>
      <c r="H896" s="626"/>
      <c r="I896" s="543"/>
      <c r="K896" s="460"/>
      <c r="L896" s="460"/>
    </row>
    <row r="897" ht="15.75" customHeight="1">
      <c r="E897" s="625"/>
      <c r="G897" s="460"/>
      <c r="H897" s="626"/>
      <c r="I897" s="543"/>
      <c r="K897" s="460"/>
      <c r="L897" s="460"/>
    </row>
    <row r="898" ht="15.75" customHeight="1">
      <c r="E898" s="625"/>
      <c r="G898" s="460"/>
      <c r="H898" s="626"/>
      <c r="I898" s="543"/>
      <c r="K898" s="460"/>
      <c r="L898" s="460"/>
    </row>
    <row r="899" ht="15.75" customHeight="1">
      <c r="E899" s="625"/>
      <c r="G899" s="460"/>
      <c r="H899" s="626"/>
      <c r="I899" s="543"/>
      <c r="K899" s="460"/>
      <c r="L899" s="460"/>
    </row>
    <row r="900" ht="15.75" customHeight="1">
      <c r="E900" s="625"/>
      <c r="G900" s="460"/>
      <c r="H900" s="626"/>
      <c r="I900" s="543"/>
      <c r="K900" s="460"/>
      <c r="L900" s="460"/>
    </row>
    <row r="901" ht="15.75" customHeight="1">
      <c r="E901" s="625"/>
      <c r="G901" s="460"/>
      <c r="H901" s="626"/>
      <c r="I901" s="543"/>
      <c r="K901" s="460"/>
      <c r="L901" s="460"/>
    </row>
    <row r="902" ht="15.75" customHeight="1">
      <c r="E902" s="625"/>
      <c r="G902" s="460"/>
      <c r="H902" s="626"/>
      <c r="I902" s="543"/>
      <c r="K902" s="460"/>
      <c r="L902" s="460"/>
    </row>
    <row r="903" ht="15.75" customHeight="1">
      <c r="E903" s="625"/>
      <c r="G903" s="460"/>
      <c r="H903" s="626"/>
      <c r="I903" s="543"/>
      <c r="K903" s="460"/>
      <c r="L903" s="460"/>
    </row>
    <row r="904" ht="15.75" customHeight="1">
      <c r="E904" s="625"/>
      <c r="G904" s="460"/>
      <c r="H904" s="626"/>
      <c r="I904" s="543"/>
      <c r="K904" s="460"/>
      <c r="L904" s="460"/>
    </row>
    <row r="905" ht="15.75" customHeight="1">
      <c r="E905" s="625"/>
      <c r="G905" s="460"/>
      <c r="H905" s="626"/>
      <c r="I905" s="543"/>
      <c r="K905" s="460"/>
      <c r="L905" s="460"/>
    </row>
    <row r="906" ht="15.75" customHeight="1">
      <c r="E906" s="625"/>
      <c r="G906" s="460"/>
      <c r="H906" s="626"/>
      <c r="I906" s="543"/>
      <c r="K906" s="460"/>
      <c r="L906" s="460"/>
    </row>
    <row r="907" ht="15.75" customHeight="1">
      <c r="E907" s="625"/>
      <c r="G907" s="460"/>
      <c r="H907" s="626"/>
      <c r="I907" s="543"/>
      <c r="K907" s="460"/>
      <c r="L907" s="460"/>
    </row>
    <row r="908" ht="15.75" customHeight="1">
      <c r="E908" s="625"/>
      <c r="G908" s="460"/>
      <c r="H908" s="626"/>
      <c r="I908" s="543"/>
      <c r="K908" s="460"/>
      <c r="L908" s="460"/>
    </row>
    <row r="909" ht="15.75" customHeight="1">
      <c r="E909" s="625"/>
      <c r="G909" s="460"/>
      <c r="H909" s="626"/>
      <c r="I909" s="543"/>
      <c r="K909" s="460"/>
      <c r="L909" s="460"/>
    </row>
    <row r="910" ht="15.75" customHeight="1">
      <c r="E910" s="625"/>
      <c r="G910" s="460"/>
      <c r="H910" s="626"/>
      <c r="I910" s="543"/>
      <c r="K910" s="460"/>
      <c r="L910" s="460"/>
    </row>
    <row r="911" ht="15.75" customHeight="1">
      <c r="E911" s="625"/>
      <c r="G911" s="460"/>
      <c r="H911" s="626"/>
      <c r="I911" s="543"/>
      <c r="K911" s="460"/>
      <c r="L911" s="460"/>
    </row>
    <row r="912" ht="15.75" customHeight="1">
      <c r="E912" s="625"/>
      <c r="G912" s="460"/>
      <c r="H912" s="626"/>
      <c r="I912" s="543"/>
      <c r="K912" s="460"/>
      <c r="L912" s="460"/>
    </row>
    <row r="913" ht="15.75" customHeight="1">
      <c r="E913" s="625"/>
      <c r="G913" s="460"/>
      <c r="H913" s="626"/>
      <c r="I913" s="543"/>
      <c r="K913" s="460"/>
      <c r="L913" s="460"/>
    </row>
    <row r="914" ht="15.75" customHeight="1">
      <c r="E914" s="625"/>
      <c r="G914" s="460"/>
      <c r="H914" s="626"/>
      <c r="I914" s="543"/>
      <c r="K914" s="460"/>
      <c r="L914" s="460"/>
    </row>
    <row r="915" ht="15.75" customHeight="1">
      <c r="E915" s="625"/>
      <c r="G915" s="460"/>
      <c r="H915" s="626"/>
      <c r="I915" s="543"/>
      <c r="K915" s="460"/>
      <c r="L915" s="460"/>
    </row>
    <row r="916" ht="15.75" customHeight="1">
      <c r="E916" s="625"/>
      <c r="G916" s="460"/>
      <c r="H916" s="626"/>
      <c r="I916" s="543"/>
      <c r="K916" s="460"/>
      <c r="L916" s="460"/>
    </row>
    <row r="917" ht="15.75" customHeight="1">
      <c r="E917" s="625"/>
      <c r="G917" s="460"/>
      <c r="H917" s="626"/>
      <c r="I917" s="543"/>
      <c r="K917" s="460"/>
      <c r="L917" s="460"/>
    </row>
    <row r="918" ht="15.75" customHeight="1">
      <c r="E918" s="625"/>
      <c r="G918" s="460"/>
      <c r="H918" s="626"/>
      <c r="I918" s="543"/>
      <c r="K918" s="460"/>
      <c r="L918" s="460"/>
    </row>
    <row r="919" ht="15.75" customHeight="1">
      <c r="E919" s="625"/>
      <c r="G919" s="460"/>
      <c r="H919" s="626"/>
      <c r="I919" s="543"/>
      <c r="K919" s="460"/>
      <c r="L919" s="460"/>
    </row>
    <row r="920" ht="15.75" customHeight="1">
      <c r="E920" s="625"/>
      <c r="G920" s="460"/>
      <c r="H920" s="626"/>
      <c r="I920" s="543"/>
      <c r="K920" s="460"/>
      <c r="L920" s="460"/>
    </row>
    <row r="921" ht="15.75" customHeight="1">
      <c r="E921" s="625"/>
      <c r="G921" s="460"/>
      <c r="H921" s="626"/>
      <c r="I921" s="543"/>
      <c r="K921" s="460"/>
      <c r="L921" s="460"/>
    </row>
    <row r="922" ht="15.75" customHeight="1">
      <c r="E922" s="625"/>
      <c r="G922" s="460"/>
      <c r="H922" s="626"/>
      <c r="I922" s="543"/>
      <c r="K922" s="460"/>
      <c r="L922" s="460"/>
    </row>
    <row r="923" ht="15.75" customHeight="1">
      <c r="E923" s="625"/>
      <c r="G923" s="460"/>
      <c r="H923" s="626"/>
      <c r="I923" s="543"/>
      <c r="K923" s="460"/>
      <c r="L923" s="460"/>
    </row>
    <row r="924" ht="15.75" customHeight="1">
      <c r="E924" s="625"/>
      <c r="G924" s="460"/>
      <c r="H924" s="626"/>
      <c r="I924" s="543"/>
      <c r="K924" s="460"/>
      <c r="L924" s="460"/>
    </row>
    <row r="925" ht="15.75" customHeight="1">
      <c r="E925" s="625"/>
      <c r="G925" s="460"/>
      <c r="H925" s="626"/>
      <c r="I925" s="543"/>
      <c r="K925" s="460"/>
      <c r="L925" s="460"/>
    </row>
    <row r="926" ht="15.75" customHeight="1">
      <c r="E926" s="625"/>
      <c r="G926" s="460"/>
      <c r="H926" s="626"/>
      <c r="I926" s="543"/>
      <c r="K926" s="460"/>
      <c r="L926" s="460"/>
    </row>
    <row r="927" ht="15.75" customHeight="1">
      <c r="E927" s="625"/>
      <c r="G927" s="460"/>
      <c r="H927" s="626"/>
      <c r="I927" s="543"/>
      <c r="K927" s="460"/>
      <c r="L927" s="460"/>
    </row>
    <row r="928" ht="15.75" customHeight="1">
      <c r="E928" s="625"/>
      <c r="G928" s="460"/>
      <c r="H928" s="626"/>
      <c r="I928" s="543"/>
      <c r="K928" s="460"/>
      <c r="L928" s="460"/>
    </row>
    <row r="929" ht="15.75" customHeight="1">
      <c r="E929" s="625"/>
      <c r="G929" s="460"/>
      <c r="H929" s="626"/>
      <c r="I929" s="543"/>
      <c r="K929" s="460"/>
      <c r="L929" s="460"/>
    </row>
    <row r="930" ht="15.75" customHeight="1">
      <c r="E930" s="625"/>
      <c r="G930" s="460"/>
      <c r="H930" s="626"/>
      <c r="I930" s="543"/>
      <c r="K930" s="460"/>
      <c r="L930" s="460"/>
    </row>
    <row r="931" ht="15.75" customHeight="1">
      <c r="E931" s="625"/>
      <c r="G931" s="460"/>
      <c r="H931" s="626"/>
      <c r="I931" s="543"/>
      <c r="K931" s="460"/>
      <c r="L931" s="460"/>
    </row>
    <row r="932" ht="15.75" customHeight="1">
      <c r="E932" s="625"/>
      <c r="G932" s="460"/>
      <c r="H932" s="626"/>
      <c r="I932" s="543"/>
      <c r="K932" s="460"/>
      <c r="L932" s="460"/>
    </row>
    <row r="933" ht="15.75" customHeight="1">
      <c r="E933" s="625"/>
      <c r="G933" s="460"/>
      <c r="H933" s="626"/>
      <c r="I933" s="543"/>
      <c r="K933" s="460"/>
      <c r="L933" s="460"/>
    </row>
    <row r="934" ht="15.75" customHeight="1">
      <c r="E934" s="625"/>
      <c r="G934" s="460"/>
      <c r="H934" s="626"/>
      <c r="I934" s="543"/>
      <c r="K934" s="460"/>
      <c r="L934" s="460"/>
    </row>
    <row r="935" ht="15.75" customHeight="1">
      <c r="E935" s="625"/>
      <c r="G935" s="460"/>
      <c r="H935" s="626"/>
      <c r="I935" s="543"/>
      <c r="K935" s="460"/>
      <c r="L935" s="460"/>
    </row>
    <row r="936" ht="15.75" customHeight="1">
      <c r="E936" s="625"/>
      <c r="G936" s="460"/>
      <c r="H936" s="626"/>
      <c r="I936" s="543"/>
      <c r="K936" s="460"/>
      <c r="L936" s="460"/>
    </row>
    <row r="937" ht="15.75" customHeight="1">
      <c r="E937" s="625"/>
      <c r="G937" s="460"/>
      <c r="H937" s="626"/>
      <c r="I937" s="543"/>
      <c r="K937" s="460"/>
      <c r="L937" s="460"/>
    </row>
    <row r="938" ht="15.75" customHeight="1">
      <c r="E938" s="625"/>
      <c r="G938" s="460"/>
      <c r="H938" s="626"/>
      <c r="I938" s="543"/>
      <c r="K938" s="460"/>
      <c r="L938" s="460"/>
    </row>
    <row r="939" ht="15.75" customHeight="1">
      <c r="E939" s="625"/>
      <c r="G939" s="460"/>
      <c r="H939" s="626"/>
      <c r="I939" s="543"/>
      <c r="K939" s="460"/>
      <c r="L939" s="460"/>
    </row>
    <row r="940" ht="15.75" customHeight="1">
      <c r="E940" s="625"/>
      <c r="G940" s="460"/>
      <c r="H940" s="626"/>
      <c r="I940" s="543"/>
      <c r="K940" s="460"/>
      <c r="L940" s="460"/>
    </row>
    <row r="941" ht="15.75" customHeight="1">
      <c r="E941" s="625"/>
      <c r="G941" s="460"/>
      <c r="H941" s="626"/>
      <c r="I941" s="543"/>
      <c r="K941" s="460"/>
      <c r="L941" s="460"/>
    </row>
    <row r="942" ht="15.75" customHeight="1">
      <c r="E942" s="625"/>
      <c r="G942" s="460"/>
      <c r="H942" s="626"/>
      <c r="I942" s="543"/>
      <c r="K942" s="460"/>
      <c r="L942" s="460"/>
    </row>
    <row r="943" ht="15.75" customHeight="1">
      <c r="E943" s="625"/>
      <c r="G943" s="460"/>
      <c r="H943" s="626"/>
      <c r="I943" s="543"/>
      <c r="K943" s="460"/>
      <c r="L943" s="460"/>
    </row>
    <row r="944" ht="15.75" customHeight="1">
      <c r="E944" s="625"/>
      <c r="G944" s="460"/>
      <c r="H944" s="626"/>
      <c r="I944" s="543"/>
      <c r="K944" s="460"/>
      <c r="L944" s="460"/>
    </row>
    <row r="945" ht="15.75" customHeight="1">
      <c r="E945" s="625"/>
      <c r="G945" s="460"/>
      <c r="H945" s="626"/>
      <c r="I945" s="543"/>
      <c r="K945" s="460"/>
      <c r="L945" s="460"/>
    </row>
    <row r="946" ht="15.75" customHeight="1">
      <c r="E946" s="625"/>
      <c r="G946" s="460"/>
      <c r="H946" s="626"/>
      <c r="I946" s="543"/>
      <c r="K946" s="460"/>
      <c r="L946" s="460"/>
    </row>
    <row r="947" ht="15.75" customHeight="1">
      <c r="E947" s="625"/>
      <c r="G947" s="460"/>
      <c r="H947" s="626"/>
      <c r="I947" s="543"/>
      <c r="K947" s="460"/>
      <c r="L947" s="460"/>
    </row>
    <row r="948" ht="15.75" customHeight="1">
      <c r="E948" s="625"/>
      <c r="G948" s="460"/>
      <c r="H948" s="626"/>
      <c r="I948" s="543"/>
      <c r="K948" s="460"/>
      <c r="L948" s="460"/>
    </row>
    <row r="949" ht="15.75" customHeight="1">
      <c r="E949" s="625"/>
      <c r="G949" s="460"/>
      <c r="H949" s="626"/>
      <c r="I949" s="543"/>
      <c r="K949" s="460"/>
      <c r="L949" s="460"/>
    </row>
    <row r="950" ht="15.75" customHeight="1">
      <c r="E950" s="625"/>
      <c r="G950" s="460"/>
      <c r="H950" s="626"/>
      <c r="I950" s="543"/>
      <c r="K950" s="460"/>
      <c r="L950" s="460"/>
    </row>
    <row r="951" ht="15.75" customHeight="1">
      <c r="E951" s="625"/>
      <c r="G951" s="460"/>
      <c r="H951" s="626"/>
      <c r="I951" s="543"/>
      <c r="K951" s="460"/>
      <c r="L951" s="460"/>
    </row>
    <row r="952" ht="15.75" customHeight="1">
      <c r="E952" s="625"/>
      <c r="G952" s="460"/>
      <c r="H952" s="626"/>
      <c r="I952" s="543"/>
      <c r="K952" s="460"/>
      <c r="L952" s="460"/>
    </row>
    <row r="953" ht="15.75" customHeight="1">
      <c r="E953" s="625"/>
      <c r="G953" s="460"/>
      <c r="H953" s="626"/>
      <c r="I953" s="543"/>
      <c r="K953" s="460"/>
      <c r="L953" s="460"/>
    </row>
    <row r="954" ht="15.75" customHeight="1">
      <c r="E954" s="625"/>
      <c r="G954" s="460"/>
      <c r="H954" s="626"/>
      <c r="I954" s="543"/>
      <c r="K954" s="460"/>
      <c r="L954" s="460"/>
    </row>
    <row r="955" ht="15.75" customHeight="1">
      <c r="E955" s="625"/>
      <c r="G955" s="460"/>
      <c r="H955" s="626"/>
      <c r="I955" s="543"/>
      <c r="K955" s="460"/>
      <c r="L955" s="460"/>
    </row>
    <row r="956" ht="15.75" customHeight="1">
      <c r="E956" s="625"/>
      <c r="G956" s="460"/>
      <c r="H956" s="626"/>
      <c r="I956" s="543"/>
      <c r="K956" s="460"/>
      <c r="L956" s="460"/>
    </row>
    <row r="957" ht="15.75" customHeight="1">
      <c r="E957" s="625"/>
      <c r="G957" s="460"/>
      <c r="H957" s="626"/>
      <c r="I957" s="543"/>
      <c r="K957" s="460"/>
      <c r="L957" s="460"/>
    </row>
    <row r="958" ht="15.75" customHeight="1">
      <c r="E958" s="625"/>
      <c r="G958" s="460"/>
      <c r="H958" s="626"/>
      <c r="I958" s="543"/>
      <c r="K958" s="460"/>
      <c r="L958" s="460"/>
    </row>
    <row r="959" ht="15.75" customHeight="1">
      <c r="E959" s="625"/>
      <c r="G959" s="460"/>
      <c r="H959" s="626"/>
      <c r="I959" s="543"/>
      <c r="K959" s="460"/>
      <c r="L959" s="460"/>
    </row>
    <row r="960" ht="15.75" customHeight="1">
      <c r="E960" s="625"/>
      <c r="G960" s="460"/>
      <c r="H960" s="626"/>
      <c r="I960" s="543"/>
      <c r="K960" s="460"/>
      <c r="L960" s="460"/>
    </row>
    <row r="961" ht="15.75" customHeight="1">
      <c r="E961" s="625"/>
      <c r="G961" s="460"/>
      <c r="H961" s="626"/>
      <c r="I961" s="543"/>
      <c r="K961" s="460"/>
      <c r="L961" s="460"/>
    </row>
    <row r="962" ht="15.75" customHeight="1">
      <c r="E962" s="625"/>
      <c r="G962" s="460"/>
      <c r="H962" s="626"/>
      <c r="I962" s="543"/>
      <c r="K962" s="460"/>
      <c r="L962" s="460"/>
    </row>
    <row r="963" ht="15.75" customHeight="1">
      <c r="E963" s="625"/>
      <c r="G963" s="460"/>
      <c r="H963" s="626"/>
      <c r="I963" s="543"/>
      <c r="K963" s="460"/>
      <c r="L963" s="460"/>
    </row>
    <row r="964" ht="15.75" customHeight="1">
      <c r="E964" s="625"/>
      <c r="G964" s="460"/>
      <c r="H964" s="626"/>
      <c r="I964" s="543"/>
      <c r="K964" s="460"/>
      <c r="L964" s="460"/>
    </row>
    <row r="965" ht="15.75" customHeight="1">
      <c r="E965" s="625"/>
      <c r="G965" s="460"/>
      <c r="H965" s="626"/>
      <c r="I965" s="543"/>
      <c r="K965" s="460"/>
      <c r="L965" s="460"/>
    </row>
    <row r="966" ht="15.75" customHeight="1">
      <c r="E966" s="625"/>
      <c r="G966" s="460"/>
      <c r="H966" s="626"/>
      <c r="I966" s="543"/>
      <c r="K966" s="460"/>
      <c r="L966" s="460"/>
    </row>
    <row r="967" ht="15.75" customHeight="1">
      <c r="E967" s="625"/>
      <c r="G967" s="460"/>
      <c r="H967" s="626"/>
      <c r="I967" s="543"/>
      <c r="K967" s="460"/>
      <c r="L967" s="460"/>
    </row>
    <row r="968" ht="15.75" customHeight="1">
      <c r="E968" s="625"/>
      <c r="G968" s="460"/>
      <c r="H968" s="626"/>
      <c r="I968" s="543"/>
      <c r="K968" s="460"/>
      <c r="L968" s="460"/>
    </row>
    <row r="969" ht="15.75" customHeight="1">
      <c r="E969" s="625"/>
      <c r="G969" s="460"/>
      <c r="H969" s="626"/>
      <c r="I969" s="543"/>
      <c r="K969" s="460"/>
      <c r="L969" s="460"/>
    </row>
    <row r="970" ht="15.75" customHeight="1">
      <c r="E970" s="625"/>
      <c r="G970" s="460"/>
      <c r="H970" s="626"/>
      <c r="I970" s="543"/>
      <c r="K970" s="460"/>
      <c r="L970" s="460"/>
    </row>
    <row r="971" ht="15.75" customHeight="1">
      <c r="E971" s="625"/>
      <c r="G971" s="460"/>
      <c r="H971" s="626"/>
      <c r="I971" s="543"/>
      <c r="K971" s="460"/>
      <c r="L971" s="460"/>
    </row>
    <row r="972" ht="15.75" customHeight="1">
      <c r="E972" s="625"/>
      <c r="G972" s="460"/>
      <c r="H972" s="626"/>
      <c r="I972" s="543"/>
      <c r="K972" s="460"/>
      <c r="L972" s="460"/>
    </row>
    <row r="973" ht="15.75" customHeight="1">
      <c r="E973" s="625"/>
      <c r="G973" s="460"/>
      <c r="H973" s="626"/>
      <c r="I973" s="543"/>
      <c r="K973" s="460"/>
      <c r="L973" s="460"/>
    </row>
    <row r="974" ht="15.75" customHeight="1">
      <c r="E974" s="625"/>
      <c r="G974" s="460"/>
      <c r="H974" s="626"/>
      <c r="I974" s="543"/>
      <c r="K974" s="460"/>
      <c r="L974" s="460"/>
    </row>
    <row r="975" ht="15.75" customHeight="1">
      <c r="E975" s="625"/>
      <c r="G975" s="460"/>
      <c r="H975" s="626"/>
      <c r="I975" s="543"/>
      <c r="K975" s="460"/>
      <c r="L975" s="460"/>
    </row>
    <row r="976" ht="15.75" customHeight="1">
      <c r="E976" s="625"/>
      <c r="G976" s="460"/>
      <c r="H976" s="626"/>
      <c r="I976" s="543"/>
      <c r="K976" s="460"/>
      <c r="L976" s="460"/>
    </row>
    <row r="977" ht="15.75" customHeight="1">
      <c r="E977" s="625"/>
      <c r="G977" s="460"/>
      <c r="H977" s="626"/>
      <c r="I977" s="543"/>
      <c r="K977" s="460"/>
      <c r="L977" s="460"/>
    </row>
    <row r="978" ht="15.75" customHeight="1">
      <c r="E978" s="625"/>
      <c r="G978" s="460"/>
      <c r="H978" s="626"/>
      <c r="I978" s="543"/>
      <c r="K978" s="460"/>
      <c r="L978" s="460"/>
    </row>
    <row r="979" ht="15.75" customHeight="1">
      <c r="E979" s="625"/>
      <c r="G979" s="460"/>
      <c r="H979" s="626"/>
      <c r="I979" s="543"/>
      <c r="K979" s="460"/>
      <c r="L979" s="460"/>
    </row>
    <row r="980" ht="15.75" customHeight="1">
      <c r="E980" s="625"/>
      <c r="G980" s="460"/>
      <c r="H980" s="626"/>
      <c r="I980" s="543"/>
      <c r="K980" s="460"/>
      <c r="L980" s="460"/>
    </row>
    <row r="981" ht="15.75" customHeight="1">
      <c r="E981" s="625"/>
      <c r="G981" s="460"/>
      <c r="H981" s="626"/>
      <c r="I981" s="543"/>
      <c r="K981" s="460"/>
      <c r="L981" s="460"/>
    </row>
    <row r="982" ht="15.75" customHeight="1">
      <c r="E982" s="625"/>
      <c r="G982" s="460"/>
      <c r="H982" s="626"/>
      <c r="I982" s="543"/>
      <c r="K982" s="460"/>
      <c r="L982" s="460"/>
    </row>
    <row r="983" ht="15.75" customHeight="1">
      <c r="E983" s="625"/>
      <c r="G983" s="460"/>
      <c r="H983" s="626"/>
      <c r="I983" s="543"/>
      <c r="K983" s="460"/>
      <c r="L983" s="460"/>
    </row>
    <row r="984" ht="15.75" customHeight="1">
      <c r="E984" s="625"/>
      <c r="G984" s="460"/>
      <c r="H984" s="626"/>
      <c r="I984" s="543"/>
      <c r="K984" s="460"/>
      <c r="L984" s="460"/>
    </row>
    <row r="985" ht="15.75" customHeight="1">
      <c r="E985" s="625"/>
      <c r="G985" s="460"/>
      <c r="H985" s="626"/>
      <c r="I985" s="543"/>
      <c r="K985" s="460"/>
      <c r="L985" s="460"/>
    </row>
    <row r="986" ht="15.75" customHeight="1">
      <c r="E986" s="625"/>
      <c r="G986" s="460"/>
      <c r="H986" s="626"/>
      <c r="I986" s="543"/>
      <c r="K986" s="460"/>
      <c r="L986" s="460"/>
    </row>
    <row r="987" ht="15.75" customHeight="1">
      <c r="E987" s="625"/>
      <c r="G987" s="460"/>
      <c r="H987" s="626"/>
      <c r="I987" s="543"/>
      <c r="K987" s="460"/>
      <c r="L987" s="460"/>
    </row>
    <row r="988" ht="15.75" customHeight="1">
      <c r="E988" s="625"/>
      <c r="G988" s="460"/>
      <c r="H988" s="626"/>
      <c r="I988" s="543"/>
      <c r="K988" s="460"/>
      <c r="L988" s="460"/>
    </row>
    <row r="989" ht="15.75" customHeight="1">
      <c r="E989" s="625"/>
      <c r="G989" s="460"/>
      <c r="H989" s="626"/>
      <c r="I989" s="543"/>
      <c r="K989" s="460"/>
      <c r="L989" s="460"/>
    </row>
    <row r="990" ht="15.75" customHeight="1">
      <c r="E990" s="625"/>
      <c r="G990" s="460"/>
      <c r="H990" s="626"/>
      <c r="I990" s="543"/>
      <c r="K990" s="460"/>
      <c r="L990" s="460"/>
    </row>
    <row r="991" ht="15.75" customHeight="1">
      <c r="E991" s="625"/>
      <c r="G991" s="460"/>
      <c r="H991" s="626"/>
      <c r="I991" s="543"/>
      <c r="K991" s="460"/>
      <c r="L991" s="460"/>
    </row>
    <row r="992" ht="15.75" customHeight="1">
      <c r="E992" s="625"/>
      <c r="G992" s="460"/>
      <c r="H992" s="626"/>
      <c r="I992" s="543"/>
      <c r="K992" s="460"/>
      <c r="L992" s="460"/>
    </row>
    <row r="993" ht="15.75" customHeight="1">
      <c r="E993" s="625"/>
      <c r="G993" s="460"/>
      <c r="H993" s="626"/>
      <c r="I993" s="543"/>
      <c r="K993" s="460"/>
      <c r="L993" s="460"/>
    </row>
    <row r="994" ht="15.75" customHeight="1">
      <c r="E994" s="625"/>
      <c r="G994" s="460"/>
      <c r="H994" s="626"/>
      <c r="I994" s="543"/>
      <c r="K994" s="460"/>
      <c r="L994" s="460"/>
    </row>
    <row r="995" ht="15.75" customHeight="1">
      <c r="E995" s="625"/>
      <c r="G995" s="460"/>
      <c r="H995" s="626"/>
      <c r="I995" s="543"/>
      <c r="K995" s="460"/>
      <c r="L995" s="460"/>
    </row>
    <row r="996" ht="15.75" customHeight="1">
      <c r="E996" s="625"/>
      <c r="G996" s="460"/>
      <c r="H996" s="626"/>
      <c r="I996" s="543"/>
      <c r="K996" s="460"/>
      <c r="L996" s="460"/>
    </row>
    <row r="997" ht="15.75" customHeight="1">
      <c r="E997" s="625"/>
      <c r="G997" s="460"/>
      <c r="H997" s="626"/>
      <c r="I997" s="543"/>
      <c r="K997" s="460"/>
      <c r="L997" s="460"/>
    </row>
    <row r="998" ht="15.75" customHeight="1">
      <c r="E998" s="625"/>
      <c r="G998" s="460"/>
      <c r="H998" s="626"/>
      <c r="I998" s="543"/>
      <c r="K998" s="460"/>
      <c r="L998" s="460"/>
    </row>
    <row r="999" ht="15.75" customHeight="1">
      <c r="E999" s="625"/>
      <c r="G999" s="460"/>
      <c r="H999" s="626"/>
      <c r="I999" s="543"/>
      <c r="K999" s="460"/>
      <c r="L999" s="460"/>
    </row>
    <row r="1000" ht="15.75" customHeight="1">
      <c r="E1000" s="625"/>
      <c r="G1000" s="460"/>
      <c r="H1000" s="626"/>
      <c r="I1000" s="543"/>
      <c r="K1000" s="460"/>
      <c r="L1000" s="460"/>
    </row>
  </sheetData>
  <autoFilter ref="$A$5:$I$62"/>
  <mergeCells count="3">
    <mergeCell ref="A1:O3"/>
    <mergeCell ref="A4:C4"/>
    <mergeCell ref="D4:E4"/>
  </mergeCells>
  <conditionalFormatting sqref="D6:D62">
    <cfRule type="expression" dxfId="1" priority="1">
      <formula>countif(D:D,D6)&gt;1</formula>
    </cfRule>
  </conditionalFormatting>
  <dataValidations>
    <dataValidation type="list" allowBlank="1" showErrorMessage="1" sqref="C6:C62">
      <formula1>periodestamp</formula1>
    </dataValidation>
    <dataValidation type="list" allowBlank="1" showErrorMessage="1" sqref="F6:F62">
      <formula1>jnjg</formula1>
    </dataValidation>
    <dataValidation type="list" allowBlank="1" showInputMessage="1" showErrorMessage="1" prompt="Click and enter a value from range" sqref="H6:H62">
      <formula1>Master!$A$43:$A$48</formula1>
    </dataValidation>
    <dataValidation type="list" allowBlank="1" showErrorMessage="1" sqref="D6:D62">
      <formula1>nmperiset</formula1>
    </dataValidation>
    <dataValidation type="list" allowBlank="1" showErrorMessage="1" sqref="E6:E62">
      <formula1>kelris</formula1>
    </dataValidation>
    <dataValidation type="list" allowBlank="1" showErrorMessage="1" sqref="L6:L44 K45:L62">
      <formula1>stsupload</formula1>
    </dataValidation>
  </dataValidations>
  <hyperlinks>
    <hyperlink r:id="rId1" ref="J6"/>
    <hyperlink r:id="rId2" ref="J7"/>
    <hyperlink r:id="rId3" ref="N7"/>
    <hyperlink r:id="rId4" ref="J8"/>
    <hyperlink r:id="rId5" ref="J9"/>
    <hyperlink r:id="rId6" ref="J10"/>
    <hyperlink r:id="rId7" ref="N10"/>
    <hyperlink r:id="rId8" ref="J11"/>
    <hyperlink r:id="rId9" ref="N11"/>
    <hyperlink r:id="rId10" ref="J12"/>
    <hyperlink r:id="rId11" ref="J13"/>
    <hyperlink r:id="rId12" ref="J14"/>
    <hyperlink r:id="rId13" ref="J15"/>
    <hyperlink r:id="rId14" ref="J16"/>
    <hyperlink r:id="rId15" ref="J17"/>
    <hyperlink r:id="rId16" ref="J18"/>
    <hyperlink r:id="rId17" ref="J19"/>
    <hyperlink r:id="rId18" ref="J20"/>
    <hyperlink r:id="rId19" ref="J21"/>
    <hyperlink r:id="rId20" ref="O21"/>
    <hyperlink r:id="rId21" ref="J22"/>
    <hyperlink r:id="rId22" ref="J23"/>
    <hyperlink r:id="rId23" ref="N23"/>
    <hyperlink r:id="rId24" ref="J24"/>
    <hyperlink r:id="rId25" ref="J25"/>
    <hyperlink r:id="rId26" ref="N25"/>
    <hyperlink r:id="rId27" ref="J26"/>
    <hyperlink r:id="rId28" ref="J27"/>
    <hyperlink r:id="rId29" ref="J28"/>
    <hyperlink r:id="rId30" ref="J29"/>
    <hyperlink r:id="rId31" ref="J30"/>
    <hyperlink r:id="rId32" ref="J31"/>
    <hyperlink r:id="rId33" ref="J32"/>
    <hyperlink r:id="rId34" ref="J33"/>
    <hyperlink r:id="rId35" ref="J34"/>
    <hyperlink r:id="rId36" ref="J35"/>
    <hyperlink r:id="rId37" ref="J36"/>
    <hyperlink r:id="rId38" ref="D37"/>
    <hyperlink r:id="rId39" ref="J37"/>
    <hyperlink r:id="rId40" ref="J38"/>
    <hyperlink r:id="rId41" ref="J39"/>
    <hyperlink r:id="rId42" ref="J40"/>
    <hyperlink r:id="rId43" ref="J41"/>
    <hyperlink r:id="rId44" ref="J42"/>
    <hyperlink r:id="rId45" ref="J43"/>
    <hyperlink r:id="rId46" ref="J44"/>
    <hyperlink r:id="rId47" ref="J45"/>
    <hyperlink r:id="rId48" ref="J46"/>
    <hyperlink r:id="rId49" ref="J47"/>
    <hyperlink r:id="rId50" ref="J48"/>
    <hyperlink r:id="rId51" ref="J49"/>
    <hyperlink r:id="rId52" ref="J50"/>
    <hyperlink r:id="rId53" ref="J51"/>
    <hyperlink r:id="rId54" ref="J52"/>
    <hyperlink r:id="rId55" ref="J53"/>
    <hyperlink r:id="rId56" ref="J54"/>
    <hyperlink r:id="rId57" ref="J55"/>
    <hyperlink r:id="rId58" ref="J56"/>
    <hyperlink r:id="rId59" ref="J57"/>
    <hyperlink r:id="rId60" ref="J58"/>
    <hyperlink r:id="rId61" ref="J59"/>
    <hyperlink r:id="rId62" ref="J60"/>
    <hyperlink r:id="rId63" ref="J61"/>
    <hyperlink r:id="rId64" ref="J62"/>
  </hyperlinks>
  <printOptions/>
  <pageMargins bottom="0.75" footer="0.0" header="0.0" left="0.7" right="0.7" top="0.75"/>
  <pageSetup orientation="landscape"/>
  <drawing r:id="rId6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1.22" defaultRowHeight="15.0"/>
  <cols>
    <col customWidth="1" min="1" max="1" width="3.0"/>
    <col customWidth="1" min="2" max="2" width="11.44"/>
    <col customWidth="1" min="3" max="3" width="12.11"/>
    <col customWidth="1" min="4" max="4" width="24.56"/>
    <col customWidth="1" min="5" max="5" width="23.22"/>
    <col customWidth="1" min="6" max="6" width="24.33"/>
    <col customWidth="1" min="7" max="7" width="21.78"/>
    <col customWidth="1" min="8" max="10" width="19.56"/>
    <col customWidth="1" min="11" max="11" width="15.0"/>
    <col customWidth="1" min="12" max="12" width="8.67"/>
    <col customWidth="1" min="13" max="13" width="8.22"/>
    <col customWidth="1" min="14" max="14" width="13.78"/>
    <col customWidth="1" min="15" max="15" width="10.11"/>
    <col customWidth="1" min="16" max="16" width="7.56"/>
    <col customWidth="1" min="17" max="17" width="15.78"/>
    <col customWidth="1" min="18" max="18" width="27.78"/>
    <col customWidth="1" min="19" max="19" width="50.78"/>
  </cols>
  <sheetData>
    <row r="1">
      <c r="A1" s="333" t="s">
        <v>0</v>
      </c>
    </row>
    <row r="4" ht="15.75" customHeight="1">
      <c r="A4" s="211" t="s">
        <v>1</v>
      </c>
      <c r="B4" s="3"/>
      <c r="C4" s="4"/>
      <c r="D4" s="212" t="s">
        <v>744</v>
      </c>
      <c r="E4" s="6"/>
      <c r="F4" s="335" t="s">
        <v>3</v>
      </c>
      <c r="G4" s="8"/>
      <c r="H4" s="8"/>
      <c r="I4" s="8"/>
      <c r="J4" s="9"/>
      <c r="P4" s="214" t="s">
        <v>4</v>
      </c>
      <c r="Q4" s="13"/>
      <c r="R4" s="14"/>
      <c r="S4" s="206"/>
    </row>
    <row r="5">
      <c r="A5" s="627" t="s">
        <v>5</v>
      </c>
      <c r="B5" s="464" t="s">
        <v>6</v>
      </c>
      <c r="C5" s="464" t="s">
        <v>7</v>
      </c>
      <c r="D5" s="341" t="s">
        <v>9</v>
      </c>
      <c r="E5" s="341" t="s">
        <v>10</v>
      </c>
      <c r="F5" s="342">
        <v>1.0</v>
      </c>
      <c r="G5" s="343">
        <v>2.0</v>
      </c>
      <c r="H5" s="343">
        <v>3.0</v>
      </c>
      <c r="I5" s="343">
        <v>4.0</v>
      </c>
      <c r="J5" s="344">
        <v>5.0</v>
      </c>
      <c r="K5" s="345" t="s">
        <v>11</v>
      </c>
      <c r="L5" s="341" t="s">
        <v>12</v>
      </c>
      <c r="M5" s="341" t="s">
        <v>13</v>
      </c>
      <c r="N5" s="346" t="s">
        <v>14</v>
      </c>
      <c r="O5" s="346" t="s">
        <v>16</v>
      </c>
      <c r="P5" s="628" t="s">
        <v>17</v>
      </c>
      <c r="Q5" s="629" t="s">
        <v>18</v>
      </c>
      <c r="R5" s="629" t="s">
        <v>820</v>
      </c>
      <c r="S5" s="630" t="s">
        <v>20</v>
      </c>
    </row>
    <row r="6" ht="15.75" customHeight="1">
      <c r="A6" s="350">
        <v>1.0</v>
      </c>
      <c r="B6" s="351">
        <f t="shared" ref="B6:B200" si="1">IF(D6&lt;&gt;"",IF(B6="",NOW(),B6),"")</f>
        <v>45502.6136</v>
      </c>
      <c r="C6" s="358" t="s">
        <v>206</v>
      </c>
      <c r="D6" s="631" t="s">
        <v>361</v>
      </c>
      <c r="E6" s="632" t="s">
        <v>108</v>
      </c>
      <c r="F6" s="353" t="s">
        <v>109</v>
      </c>
      <c r="G6" s="354"/>
      <c r="H6" s="354"/>
      <c r="I6" s="354"/>
      <c r="J6" s="354"/>
      <c r="K6" s="353" t="s">
        <v>229</v>
      </c>
      <c r="L6" s="353" t="s">
        <v>26</v>
      </c>
      <c r="M6" s="353" t="s">
        <v>27</v>
      </c>
      <c r="N6" s="254" t="s">
        <v>230</v>
      </c>
      <c r="O6" s="354"/>
      <c r="P6" s="37" t="s">
        <v>821</v>
      </c>
      <c r="Q6" s="633" t="s">
        <v>231</v>
      </c>
      <c r="R6" s="633" t="s">
        <v>232</v>
      </c>
      <c r="S6" s="634"/>
    </row>
    <row r="7">
      <c r="A7" s="357">
        <v>2.0</v>
      </c>
      <c r="B7" s="351">
        <f t="shared" si="1"/>
        <v>45502.61398</v>
      </c>
      <c r="C7" s="358" t="s">
        <v>206</v>
      </c>
      <c r="D7" s="254" t="s">
        <v>228</v>
      </c>
      <c r="E7" s="265" t="s">
        <v>108</v>
      </c>
      <c r="F7" s="287" t="s">
        <v>126</v>
      </c>
      <c r="G7" s="285"/>
      <c r="H7" s="285"/>
      <c r="I7" s="285"/>
      <c r="J7" s="285"/>
      <c r="K7" s="635" t="s">
        <v>362</v>
      </c>
      <c r="L7" s="635" t="s">
        <v>26</v>
      </c>
      <c r="M7" s="635" t="s">
        <v>27</v>
      </c>
      <c r="N7" s="635" t="s">
        <v>363</v>
      </c>
      <c r="O7" s="285"/>
      <c r="P7" s="37" t="s">
        <v>821</v>
      </c>
      <c r="Q7" s="633" t="s">
        <v>364</v>
      </c>
      <c r="R7" s="633" t="s">
        <v>822</v>
      </c>
      <c r="S7" s="636"/>
    </row>
    <row r="8">
      <c r="A8" s="357">
        <v>3.0</v>
      </c>
      <c r="B8" s="351" t="str">
        <f t="shared" si="1"/>
        <v/>
      </c>
      <c r="C8" s="361"/>
      <c r="D8" s="637"/>
      <c r="E8" s="265"/>
      <c r="F8" s="285"/>
      <c r="G8" s="285"/>
      <c r="H8" s="285"/>
      <c r="I8" s="285"/>
      <c r="J8" s="285"/>
      <c r="K8" s="285"/>
      <c r="L8" s="285"/>
      <c r="M8" s="285"/>
      <c r="N8" s="35"/>
      <c r="O8" s="285"/>
      <c r="P8" s="37" t="s">
        <v>821</v>
      </c>
      <c r="Q8" s="35"/>
      <c r="R8" s="35"/>
      <c r="S8" s="638"/>
    </row>
    <row r="9">
      <c r="A9" s="357">
        <v>4.0</v>
      </c>
      <c r="B9" s="351" t="str">
        <f t="shared" si="1"/>
        <v/>
      </c>
      <c r="C9" s="361"/>
      <c r="D9" s="637"/>
      <c r="E9" s="639"/>
      <c r="F9" s="285"/>
      <c r="G9" s="285"/>
      <c r="H9" s="285"/>
      <c r="I9" s="285"/>
      <c r="J9" s="285"/>
      <c r="K9" s="285"/>
      <c r="L9" s="285"/>
      <c r="M9" s="285"/>
      <c r="N9" s="35"/>
      <c r="O9" s="285"/>
      <c r="P9" s="37" t="s">
        <v>821</v>
      </c>
      <c r="Q9" s="35"/>
      <c r="R9" s="35"/>
      <c r="S9" s="638"/>
    </row>
    <row r="10">
      <c r="A10" s="357">
        <v>5.0</v>
      </c>
      <c r="B10" s="351" t="str">
        <f t="shared" si="1"/>
        <v/>
      </c>
      <c r="C10" s="361"/>
      <c r="D10" s="637"/>
      <c r="E10" s="639"/>
      <c r="F10" s="285"/>
      <c r="G10" s="285"/>
      <c r="H10" s="285"/>
      <c r="I10" s="285"/>
      <c r="J10" s="285"/>
      <c r="K10" s="285"/>
      <c r="L10" s="285"/>
      <c r="M10" s="285"/>
      <c r="N10" s="35"/>
      <c r="O10" s="285"/>
      <c r="P10" s="37" t="s">
        <v>821</v>
      </c>
      <c r="Q10" s="35"/>
      <c r="R10" s="35"/>
      <c r="S10" s="638"/>
    </row>
    <row r="11">
      <c r="A11" s="357">
        <v>6.0</v>
      </c>
      <c r="B11" s="351" t="str">
        <f t="shared" si="1"/>
        <v/>
      </c>
      <c r="C11" s="358"/>
      <c r="D11" s="36"/>
      <c r="E11" s="287"/>
      <c r="F11" s="287"/>
      <c r="G11" s="285"/>
      <c r="H11" s="285"/>
      <c r="I11" s="285"/>
      <c r="J11" s="285"/>
      <c r="K11" s="285"/>
      <c r="L11" s="287"/>
      <c r="M11" s="287"/>
      <c r="N11" s="36"/>
      <c r="O11" s="285"/>
      <c r="P11" s="37" t="s">
        <v>821</v>
      </c>
      <c r="Q11" s="38"/>
      <c r="R11" s="35"/>
      <c r="S11" s="638"/>
    </row>
    <row r="12">
      <c r="A12" s="357">
        <v>7.0</v>
      </c>
      <c r="B12" s="351" t="str">
        <f t="shared" si="1"/>
        <v/>
      </c>
      <c r="C12" s="361"/>
      <c r="D12" s="36"/>
      <c r="E12" s="285"/>
      <c r="F12" s="285"/>
      <c r="G12" s="285"/>
      <c r="H12" s="285"/>
      <c r="I12" s="285"/>
      <c r="J12" s="285"/>
      <c r="K12" s="285"/>
      <c r="L12" s="285"/>
      <c r="M12" s="285"/>
      <c r="N12" s="35"/>
      <c r="O12" s="285"/>
      <c r="P12" s="37" t="s">
        <v>821</v>
      </c>
      <c r="Q12" s="35"/>
      <c r="R12" s="35"/>
      <c r="S12" s="638"/>
    </row>
    <row r="13">
      <c r="A13" s="357">
        <v>8.0</v>
      </c>
      <c r="B13" s="351" t="str">
        <f t="shared" si="1"/>
        <v/>
      </c>
      <c r="C13" s="361"/>
      <c r="D13" s="35"/>
      <c r="E13" s="285"/>
      <c r="F13" s="285"/>
      <c r="G13" s="285"/>
      <c r="H13" s="285"/>
      <c r="I13" s="285"/>
      <c r="J13" s="285"/>
      <c r="K13" s="285"/>
      <c r="L13" s="285"/>
      <c r="M13" s="285"/>
      <c r="N13" s="35"/>
      <c r="O13" s="285"/>
      <c r="P13" s="37" t="s">
        <v>821</v>
      </c>
      <c r="Q13" s="35"/>
      <c r="R13" s="38"/>
      <c r="S13" s="638"/>
    </row>
    <row r="14">
      <c r="A14" s="357">
        <v>9.0</v>
      </c>
      <c r="B14" s="351" t="str">
        <f t="shared" si="1"/>
        <v/>
      </c>
      <c r="C14" s="361"/>
      <c r="D14" s="35"/>
      <c r="E14" s="285"/>
      <c r="F14" s="285"/>
      <c r="G14" s="285"/>
      <c r="H14" s="285"/>
      <c r="I14" s="285"/>
      <c r="J14" s="285"/>
      <c r="K14" s="285"/>
      <c r="L14" s="285"/>
      <c r="M14" s="285"/>
      <c r="N14" s="35"/>
      <c r="O14" s="285"/>
      <c r="P14" s="37" t="s">
        <v>821</v>
      </c>
      <c r="Q14" s="38"/>
      <c r="R14" s="35"/>
      <c r="S14" s="638"/>
    </row>
    <row r="15">
      <c r="A15" s="357">
        <v>10.0</v>
      </c>
      <c r="B15" s="351" t="str">
        <f t="shared" si="1"/>
        <v/>
      </c>
      <c r="C15" s="361"/>
      <c r="D15" s="35"/>
      <c r="E15" s="285"/>
      <c r="F15" s="285"/>
      <c r="G15" s="285"/>
      <c r="H15" s="285"/>
      <c r="I15" s="285"/>
      <c r="J15" s="285"/>
      <c r="K15" s="285"/>
      <c r="L15" s="285"/>
      <c r="M15" s="285"/>
      <c r="N15" s="35"/>
      <c r="O15" s="285"/>
      <c r="P15" s="37" t="s">
        <v>821</v>
      </c>
      <c r="Q15" s="35"/>
      <c r="R15" s="35"/>
      <c r="S15" s="638"/>
    </row>
    <row r="16">
      <c r="A16" s="357">
        <v>11.0</v>
      </c>
      <c r="B16" s="351" t="str">
        <f t="shared" si="1"/>
        <v/>
      </c>
      <c r="C16" s="366"/>
      <c r="D16" s="35"/>
      <c r="E16" s="285"/>
      <c r="F16" s="285"/>
      <c r="G16" s="285"/>
      <c r="H16" s="285"/>
      <c r="I16" s="285"/>
      <c r="J16" s="285"/>
      <c r="K16" s="285"/>
      <c r="L16" s="285"/>
      <c r="M16" s="285"/>
      <c r="N16" s="35"/>
      <c r="O16" s="285"/>
      <c r="P16" s="37" t="s">
        <v>821</v>
      </c>
      <c r="Q16" s="35"/>
      <c r="R16" s="35"/>
      <c r="S16" s="638"/>
    </row>
    <row r="17">
      <c r="A17" s="357">
        <v>12.0</v>
      </c>
      <c r="B17" s="351" t="str">
        <f t="shared" si="1"/>
        <v/>
      </c>
      <c r="C17" s="366"/>
      <c r="D17" s="35"/>
      <c r="E17" s="285"/>
      <c r="F17" s="285"/>
      <c r="G17" s="285"/>
      <c r="H17" s="285"/>
      <c r="I17" s="285"/>
      <c r="J17" s="285"/>
      <c r="K17" s="285"/>
      <c r="L17" s="285"/>
      <c r="M17" s="285"/>
      <c r="N17" s="35"/>
      <c r="O17" s="285"/>
      <c r="P17" s="37" t="s">
        <v>821</v>
      </c>
      <c r="Q17" s="35"/>
      <c r="R17" s="35"/>
      <c r="S17" s="638"/>
    </row>
    <row r="18">
      <c r="A18" s="357">
        <v>13.0</v>
      </c>
      <c r="B18" s="351" t="str">
        <f t="shared" si="1"/>
        <v/>
      </c>
      <c r="C18" s="361"/>
      <c r="D18" s="35"/>
      <c r="E18" s="285"/>
      <c r="F18" s="285"/>
      <c r="G18" s="285"/>
      <c r="H18" s="285"/>
      <c r="I18" s="285"/>
      <c r="J18" s="285"/>
      <c r="K18" s="285"/>
      <c r="L18" s="285"/>
      <c r="M18" s="285"/>
      <c r="N18" s="35"/>
      <c r="O18" s="285"/>
      <c r="P18" s="37" t="s">
        <v>821</v>
      </c>
      <c r="Q18" s="38"/>
      <c r="R18" s="640"/>
      <c r="S18" s="636"/>
    </row>
    <row r="19">
      <c r="A19" s="357">
        <v>14.0</v>
      </c>
      <c r="B19" s="351" t="str">
        <f t="shared" si="1"/>
        <v/>
      </c>
      <c r="C19" s="366"/>
      <c r="D19" s="167"/>
      <c r="E19" s="285"/>
      <c r="F19" s="285"/>
      <c r="G19" s="285"/>
      <c r="H19" s="285"/>
      <c r="I19" s="285"/>
      <c r="J19" s="285"/>
      <c r="K19" s="285"/>
      <c r="L19" s="285"/>
      <c r="M19" s="285"/>
      <c r="N19" s="35"/>
      <c r="O19" s="285"/>
      <c r="P19" s="37" t="s">
        <v>821</v>
      </c>
      <c r="Q19" s="35"/>
      <c r="R19" s="35"/>
      <c r="S19" s="638"/>
    </row>
    <row r="20">
      <c r="A20" s="357">
        <v>15.0</v>
      </c>
      <c r="B20" s="351" t="str">
        <f t="shared" si="1"/>
        <v/>
      </c>
      <c r="C20" s="366"/>
      <c r="D20" s="167"/>
      <c r="E20" s="285"/>
      <c r="F20" s="285"/>
      <c r="G20" s="285"/>
      <c r="H20" s="285"/>
      <c r="I20" s="285"/>
      <c r="J20" s="285"/>
      <c r="K20" s="285"/>
      <c r="L20" s="285"/>
      <c r="M20" s="285"/>
      <c r="N20" s="35"/>
      <c r="O20" s="285"/>
      <c r="P20" s="37" t="s">
        <v>821</v>
      </c>
      <c r="Q20" s="35"/>
      <c r="R20" s="35"/>
      <c r="S20" s="638"/>
    </row>
    <row r="21" ht="15.75" customHeight="1">
      <c r="A21" s="357">
        <v>16.0</v>
      </c>
      <c r="B21" s="351" t="str">
        <f t="shared" si="1"/>
        <v/>
      </c>
      <c r="C21" s="366"/>
      <c r="D21" s="167"/>
      <c r="E21" s="285"/>
      <c r="F21" s="382"/>
      <c r="G21" s="285"/>
      <c r="H21" s="285"/>
      <c r="I21" s="285"/>
      <c r="J21" s="285"/>
      <c r="K21" s="285"/>
      <c r="L21" s="285"/>
      <c r="M21" s="285"/>
      <c r="N21" s="181"/>
      <c r="O21" s="285"/>
      <c r="P21" s="37" t="s">
        <v>821</v>
      </c>
      <c r="Q21" s="38"/>
      <c r="R21" s="35"/>
      <c r="S21" s="638"/>
    </row>
    <row r="22" ht="15.75" customHeight="1">
      <c r="A22" s="357">
        <v>17.0</v>
      </c>
      <c r="B22" s="351" t="str">
        <f t="shared" si="1"/>
        <v/>
      </c>
      <c r="C22" s="366"/>
      <c r="D22" s="167"/>
      <c r="E22" s="285"/>
      <c r="F22" s="382"/>
      <c r="G22" s="285"/>
      <c r="H22" s="285"/>
      <c r="I22" s="285"/>
      <c r="J22" s="285"/>
      <c r="K22" s="285"/>
      <c r="L22" s="285"/>
      <c r="M22" s="285"/>
      <c r="N22" s="35"/>
      <c r="O22" s="285"/>
      <c r="P22" s="37" t="s">
        <v>821</v>
      </c>
      <c r="Q22" s="35"/>
      <c r="R22" s="35"/>
      <c r="S22" s="638"/>
    </row>
    <row r="23" ht="15.75" customHeight="1">
      <c r="A23" s="357">
        <v>18.0</v>
      </c>
      <c r="B23" s="351" t="str">
        <f t="shared" si="1"/>
        <v/>
      </c>
      <c r="C23" s="366"/>
      <c r="D23" s="175"/>
      <c r="E23" s="285"/>
      <c r="F23" s="382"/>
      <c r="G23" s="285"/>
      <c r="H23" s="285"/>
      <c r="I23" s="285"/>
      <c r="J23" s="285"/>
      <c r="K23" s="285"/>
      <c r="L23" s="285"/>
      <c r="M23" s="285"/>
      <c r="N23" s="181"/>
      <c r="O23" s="285"/>
      <c r="P23" s="37" t="s">
        <v>821</v>
      </c>
      <c r="Q23" s="35"/>
      <c r="R23" s="35"/>
      <c r="S23" s="636"/>
    </row>
    <row r="24" ht="15.75" customHeight="1">
      <c r="A24" s="357">
        <v>19.0</v>
      </c>
      <c r="B24" s="351" t="str">
        <f t="shared" si="1"/>
        <v/>
      </c>
      <c r="C24" s="366"/>
      <c r="D24" s="175"/>
      <c r="E24" s="285"/>
      <c r="F24" s="382"/>
      <c r="G24" s="285"/>
      <c r="H24" s="285"/>
      <c r="I24" s="285"/>
      <c r="J24" s="285"/>
      <c r="K24" s="285"/>
      <c r="L24" s="285"/>
      <c r="M24" s="285"/>
      <c r="N24" s="175"/>
      <c r="O24" s="285"/>
      <c r="P24" s="37" t="s">
        <v>821</v>
      </c>
      <c r="Q24" s="35"/>
      <c r="R24" s="35"/>
      <c r="S24" s="638"/>
    </row>
    <row r="25" ht="15.75" customHeight="1">
      <c r="A25" s="357">
        <v>20.0</v>
      </c>
      <c r="B25" s="351" t="str">
        <f t="shared" si="1"/>
        <v/>
      </c>
      <c r="C25" s="366"/>
      <c r="D25" s="185"/>
      <c r="E25" s="285"/>
      <c r="F25" s="382"/>
      <c r="G25" s="285"/>
      <c r="H25" s="285"/>
      <c r="I25" s="285"/>
      <c r="J25" s="285"/>
      <c r="K25" s="285"/>
      <c r="L25" s="285"/>
      <c r="M25" s="285"/>
      <c r="N25" s="175"/>
      <c r="O25" s="285"/>
      <c r="P25" s="37" t="s">
        <v>821</v>
      </c>
      <c r="Q25" s="35"/>
      <c r="R25" s="35"/>
      <c r="S25" s="638"/>
    </row>
    <row r="26" ht="15.75" customHeight="1">
      <c r="A26" s="357">
        <v>21.0</v>
      </c>
      <c r="B26" s="351" t="str">
        <f t="shared" si="1"/>
        <v/>
      </c>
      <c r="C26" s="383"/>
      <c r="D26" s="175"/>
      <c r="E26" s="285"/>
      <c r="F26" s="382"/>
      <c r="G26" s="285"/>
      <c r="H26" s="285"/>
      <c r="I26" s="285"/>
      <c r="J26" s="285"/>
      <c r="K26" s="285"/>
      <c r="L26" s="285"/>
      <c r="M26" s="285"/>
      <c r="N26" s="175"/>
      <c r="O26" s="285"/>
      <c r="P26" s="37" t="s">
        <v>821</v>
      </c>
      <c r="Q26" s="35"/>
      <c r="R26" s="35"/>
      <c r="S26" s="638"/>
    </row>
    <row r="27" ht="15.75" customHeight="1">
      <c r="A27" s="357">
        <v>22.0</v>
      </c>
      <c r="B27" s="351" t="str">
        <f t="shared" si="1"/>
        <v/>
      </c>
      <c r="C27" s="366"/>
      <c r="D27" s="175"/>
      <c r="E27" s="285"/>
      <c r="F27" s="382"/>
      <c r="G27" s="285"/>
      <c r="H27" s="285"/>
      <c r="I27" s="285"/>
      <c r="J27" s="285"/>
      <c r="K27" s="285"/>
      <c r="L27" s="285"/>
      <c r="M27" s="285"/>
      <c r="N27" s="641"/>
      <c r="O27" s="285"/>
      <c r="P27" s="37" t="s">
        <v>821</v>
      </c>
      <c r="Q27" s="35"/>
      <c r="R27" s="35"/>
      <c r="S27" s="636"/>
    </row>
    <row r="28" ht="15.75" customHeight="1">
      <c r="A28" s="357">
        <v>23.0</v>
      </c>
      <c r="B28" s="351" t="str">
        <f t="shared" si="1"/>
        <v/>
      </c>
      <c r="C28" s="384"/>
      <c r="D28" s="35"/>
      <c r="E28" s="285"/>
      <c r="F28" s="382"/>
      <c r="G28" s="285"/>
      <c r="H28" s="285"/>
      <c r="I28" s="285"/>
      <c r="J28" s="285"/>
      <c r="K28" s="285"/>
      <c r="L28" s="285"/>
      <c r="M28" s="285"/>
      <c r="N28" s="642"/>
      <c r="O28" s="285"/>
      <c r="P28" s="37" t="s">
        <v>821</v>
      </c>
      <c r="Q28" s="35"/>
      <c r="R28" s="35"/>
      <c r="S28" s="636"/>
    </row>
    <row r="29" ht="15.75" customHeight="1">
      <c r="A29" s="357">
        <v>24.0</v>
      </c>
      <c r="B29" s="351" t="str">
        <f t="shared" si="1"/>
        <v/>
      </c>
      <c r="C29" s="361"/>
      <c r="D29" s="35"/>
      <c r="E29" s="285"/>
      <c r="F29" s="285"/>
      <c r="G29" s="285"/>
      <c r="H29" s="285"/>
      <c r="I29" s="285"/>
      <c r="J29" s="285"/>
      <c r="K29" s="285"/>
      <c r="L29" s="285"/>
      <c r="M29" s="285"/>
      <c r="N29" s="642"/>
      <c r="O29" s="285"/>
      <c r="P29" s="37" t="s">
        <v>821</v>
      </c>
      <c r="Q29" s="35"/>
      <c r="R29" s="35"/>
      <c r="S29" s="636"/>
    </row>
    <row r="30" ht="15.75" customHeight="1">
      <c r="A30" s="357">
        <v>25.0</v>
      </c>
      <c r="B30" s="351" t="str">
        <f t="shared" si="1"/>
        <v/>
      </c>
      <c r="C30" s="361"/>
      <c r="D30" s="35"/>
      <c r="E30" s="285"/>
      <c r="F30" s="285"/>
      <c r="G30" s="285"/>
      <c r="H30" s="285"/>
      <c r="I30" s="285"/>
      <c r="J30" s="285"/>
      <c r="K30" s="285"/>
      <c r="L30" s="285"/>
      <c r="M30" s="285"/>
      <c r="N30" s="642"/>
      <c r="O30" s="285"/>
      <c r="P30" s="37" t="s">
        <v>821</v>
      </c>
      <c r="Q30" s="35"/>
      <c r="R30" s="35"/>
      <c r="S30" s="636"/>
    </row>
    <row r="31" ht="15.75" customHeight="1">
      <c r="A31" s="357">
        <v>26.0</v>
      </c>
      <c r="B31" s="351" t="str">
        <f t="shared" si="1"/>
        <v/>
      </c>
      <c r="C31" s="361"/>
      <c r="D31" s="35"/>
      <c r="E31" s="285"/>
      <c r="F31" s="285"/>
      <c r="G31" s="285"/>
      <c r="H31" s="285"/>
      <c r="I31" s="285"/>
      <c r="J31" s="285"/>
      <c r="K31" s="285"/>
      <c r="L31" s="285"/>
      <c r="M31" s="285"/>
      <c r="N31" s="642"/>
      <c r="O31" s="285"/>
      <c r="P31" s="37" t="s">
        <v>821</v>
      </c>
      <c r="Q31" s="35"/>
      <c r="R31" s="35"/>
      <c r="S31" s="636"/>
    </row>
    <row r="32" ht="15.75" customHeight="1">
      <c r="A32" s="357">
        <v>27.0</v>
      </c>
      <c r="B32" s="351" t="str">
        <f t="shared" si="1"/>
        <v/>
      </c>
      <c r="C32" s="361"/>
      <c r="D32" s="35"/>
      <c r="E32" s="285"/>
      <c r="F32" s="285"/>
      <c r="G32" s="285"/>
      <c r="H32" s="285"/>
      <c r="I32" s="285"/>
      <c r="J32" s="285"/>
      <c r="K32" s="285"/>
      <c r="L32" s="285"/>
      <c r="M32" s="285"/>
      <c r="N32" s="642"/>
      <c r="O32" s="285"/>
      <c r="P32" s="37" t="s">
        <v>821</v>
      </c>
      <c r="Q32" s="35"/>
      <c r="R32" s="35"/>
      <c r="S32" s="638"/>
    </row>
    <row r="33" ht="15.75" customHeight="1">
      <c r="A33" s="357">
        <v>28.0</v>
      </c>
      <c r="B33" s="351" t="str">
        <f t="shared" si="1"/>
        <v/>
      </c>
      <c r="C33" s="361"/>
      <c r="D33" s="35"/>
      <c r="E33" s="285"/>
      <c r="F33" s="285"/>
      <c r="G33" s="285"/>
      <c r="H33" s="285"/>
      <c r="I33" s="285"/>
      <c r="J33" s="285"/>
      <c r="K33" s="285"/>
      <c r="L33" s="285"/>
      <c r="M33" s="285"/>
      <c r="N33" s="642"/>
      <c r="O33" s="285"/>
      <c r="P33" s="37" t="s">
        <v>821</v>
      </c>
      <c r="Q33" s="35"/>
      <c r="R33" s="35"/>
      <c r="S33" s="638"/>
    </row>
    <row r="34" ht="15.75" customHeight="1">
      <c r="A34" s="357">
        <v>29.0</v>
      </c>
      <c r="B34" s="351" t="str">
        <f t="shared" si="1"/>
        <v/>
      </c>
      <c r="C34" s="366"/>
      <c r="D34" s="35"/>
      <c r="E34" s="285"/>
      <c r="F34" s="285"/>
      <c r="G34" s="285"/>
      <c r="H34" s="285"/>
      <c r="I34" s="285"/>
      <c r="J34" s="285"/>
      <c r="K34" s="285"/>
      <c r="L34" s="285"/>
      <c r="M34" s="285"/>
      <c r="N34" s="35"/>
      <c r="O34" s="285"/>
      <c r="P34" s="37" t="s">
        <v>821</v>
      </c>
      <c r="Q34" s="35"/>
      <c r="R34" s="35"/>
      <c r="S34" s="638"/>
    </row>
    <row r="35" ht="15.75" customHeight="1">
      <c r="A35" s="357">
        <v>30.0</v>
      </c>
      <c r="B35" s="351" t="str">
        <f t="shared" si="1"/>
        <v/>
      </c>
      <c r="C35" s="366"/>
      <c r="D35" s="35"/>
      <c r="E35" s="285"/>
      <c r="F35" s="285"/>
      <c r="G35" s="285"/>
      <c r="H35" s="285"/>
      <c r="I35" s="285"/>
      <c r="J35" s="285"/>
      <c r="K35" s="285"/>
      <c r="L35" s="285"/>
      <c r="M35" s="285"/>
      <c r="N35" s="35"/>
      <c r="O35" s="285"/>
      <c r="P35" s="37" t="s">
        <v>821</v>
      </c>
      <c r="Q35" s="35"/>
      <c r="R35" s="35"/>
      <c r="S35" s="638"/>
    </row>
    <row r="36" ht="15.75" customHeight="1">
      <c r="A36" s="357">
        <v>31.0</v>
      </c>
      <c r="B36" s="351" t="str">
        <f t="shared" si="1"/>
        <v/>
      </c>
      <c r="C36" s="366"/>
      <c r="D36" s="35"/>
      <c r="E36" s="285"/>
      <c r="F36" s="285"/>
      <c r="G36" s="285"/>
      <c r="H36" s="285"/>
      <c r="I36" s="285"/>
      <c r="J36" s="285"/>
      <c r="K36" s="285"/>
      <c r="L36" s="285"/>
      <c r="M36" s="285"/>
      <c r="N36" s="35"/>
      <c r="O36" s="285"/>
      <c r="P36" s="37" t="s">
        <v>821</v>
      </c>
      <c r="Q36" s="35"/>
      <c r="R36" s="35"/>
      <c r="S36" s="638"/>
    </row>
    <row r="37" ht="15.75" customHeight="1">
      <c r="A37" s="357">
        <v>32.0</v>
      </c>
      <c r="B37" s="351" t="str">
        <f t="shared" si="1"/>
        <v/>
      </c>
      <c r="C37" s="366"/>
      <c r="D37" s="35"/>
      <c r="E37" s="285"/>
      <c r="F37" s="285"/>
      <c r="G37" s="285"/>
      <c r="H37" s="285"/>
      <c r="I37" s="285"/>
      <c r="J37" s="285"/>
      <c r="K37" s="285"/>
      <c r="L37" s="285"/>
      <c r="M37" s="285"/>
      <c r="N37" s="35"/>
      <c r="O37" s="285"/>
      <c r="P37" s="37" t="s">
        <v>821</v>
      </c>
      <c r="Q37" s="35"/>
      <c r="R37" s="35"/>
      <c r="S37" s="638"/>
    </row>
    <row r="38" ht="15.75" customHeight="1">
      <c r="A38" s="357">
        <v>33.0</v>
      </c>
      <c r="B38" s="351" t="str">
        <f t="shared" si="1"/>
        <v/>
      </c>
      <c r="C38" s="366"/>
      <c r="D38" s="35"/>
      <c r="E38" s="285"/>
      <c r="F38" s="285"/>
      <c r="G38" s="285"/>
      <c r="H38" s="285"/>
      <c r="I38" s="285"/>
      <c r="J38" s="285"/>
      <c r="K38" s="285"/>
      <c r="L38" s="285"/>
      <c r="M38" s="285"/>
      <c r="N38" s="35"/>
      <c r="O38" s="285"/>
      <c r="P38" s="37" t="s">
        <v>821</v>
      </c>
      <c r="Q38" s="35"/>
      <c r="R38" s="35"/>
      <c r="S38" s="638"/>
    </row>
    <row r="39" ht="15.75" customHeight="1">
      <c r="A39" s="357">
        <v>34.0</v>
      </c>
      <c r="B39" s="351" t="str">
        <f t="shared" si="1"/>
        <v/>
      </c>
      <c r="C39" s="366"/>
      <c r="D39" s="35"/>
      <c r="E39" s="285"/>
      <c r="F39" s="285"/>
      <c r="G39" s="285"/>
      <c r="H39" s="285"/>
      <c r="I39" s="285"/>
      <c r="J39" s="285"/>
      <c r="K39" s="285"/>
      <c r="L39" s="285"/>
      <c r="M39" s="285"/>
      <c r="N39" s="642"/>
      <c r="O39" s="285"/>
      <c r="P39" s="37" t="s">
        <v>821</v>
      </c>
      <c r="Q39" s="35"/>
      <c r="R39" s="35"/>
      <c r="S39" s="636"/>
    </row>
    <row r="40" ht="15.75" customHeight="1">
      <c r="A40" s="357">
        <v>35.0</v>
      </c>
      <c r="B40" s="351" t="str">
        <f t="shared" si="1"/>
        <v/>
      </c>
      <c r="C40" s="366"/>
      <c r="D40" s="35"/>
      <c r="E40" s="285"/>
      <c r="F40" s="643"/>
      <c r="G40" s="643"/>
      <c r="H40" s="643"/>
      <c r="I40" s="643"/>
      <c r="J40" s="643"/>
      <c r="K40" s="643"/>
      <c r="L40" s="285"/>
      <c r="M40" s="285"/>
      <c r="N40" s="35"/>
      <c r="O40" s="285"/>
      <c r="P40" s="37" t="s">
        <v>821</v>
      </c>
      <c r="Q40" s="35"/>
      <c r="R40" s="35"/>
      <c r="S40" s="636"/>
    </row>
    <row r="41" ht="15.75" customHeight="1">
      <c r="A41" s="357">
        <v>36.0</v>
      </c>
      <c r="B41" s="351" t="str">
        <f t="shared" si="1"/>
        <v/>
      </c>
      <c r="C41" s="366"/>
      <c r="D41" s="124"/>
      <c r="E41" s="285"/>
      <c r="F41" s="285"/>
      <c r="G41" s="285"/>
      <c r="H41" s="285"/>
      <c r="I41" s="285"/>
      <c r="J41" s="285"/>
      <c r="K41" s="285"/>
      <c r="L41" s="285"/>
      <c r="M41" s="285"/>
      <c r="N41" s="35"/>
      <c r="O41" s="285"/>
      <c r="P41" s="37" t="s">
        <v>821</v>
      </c>
      <c r="Q41" s="35"/>
      <c r="R41" s="35"/>
      <c r="S41" s="636"/>
    </row>
    <row r="42" ht="15.75" customHeight="1">
      <c r="A42" s="357">
        <v>37.0</v>
      </c>
      <c r="B42" s="351" t="str">
        <f t="shared" si="1"/>
        <v/>
      </c>
      <c r="C42" s="366"/>
      <c r="D42" s="35"/>
      <c r="E42" s="285"/>
      <c r="F42" s="285"/>
      <c r="G42" s="285"/>
      <c r="H42" s="285"/>
      <c r="I42" s="285"/>
      <c r="J42" s="285"/>
      <c r="K42" s="285"/>
      <c r="L42" s="285"/>
      <c r="M42" s="285"/>
      <c r="N42" s="35"/>
      <c r="O42" s="285"/>
      <c r="P42" s="37" t="s">
        <v>821</v>
      </c>
      <c r="Q42" s="35"/>
      <c r="R42" s="35"/>
      <c r="S42" s="636"/>
    </row>
    <row r="43" ht="15.75" customHeight="1">
      <c r="A43" s="357">
        <v>38.0</v>
      </c>
      <c r="B43" s="351" t="str">
        <f t="shared" si="1"/>
        <v/>
      </c>
      <c r="C43" s="386"/>
      <c r="D43" s="35"/>
      <c r="E43" s="285"/>
      <c r="F43" s="285"/>
      <c r="G43" s="285"/>
      <c r="H43" s="285"/>
      <c r="I43" s="285"/>
      <c r="J43" s="285"/>
      <c r="K43" s="285"/>
      <c r="L43" s="285"/>
      <c r="M43" s="285"/>
      <c r="N43" s="35"/>
      <c r="O43" s="285"/>
      <c r="P43" s="37" t="s">
        <v>821</v>
      </c>
      <c r="Q43" s="35"/>
      <c r="R43" s="35"/>
      <c r="S43" s="50"/>
    </row>
    <row r="44" ht="15.75" customHeight="1">
      <c r="A44" s="357">
        <v>39.0</v>
      </c>
      <c r="B44" s="351" t="str">
        <f t="shared" si="1"/>
        <v/>
      </c>
      <c r="C44" s="366"/>
      <c r="D44" s="35"/>
      <c r="E44" s="285"/>
      <c r="F44" s="285"/>
      <c r="G44" s="285"/>
      <c r="H44" s="285"/>
      <c r="I44" s="285"/>
      <c r="J44" s="285"/>
      <c r="K44" s="285"/>
      <c r="L44" s="285"/>
      <c r="M44" s="285"/>
      <c r="N44" s="35"/>
      <c r="O44" s="285"/>
      <c r="P44" s="37" t="s">
        <v>821</v>
      </c>
      <c r="Q44" s="38"/>
      <c r="R44" s="35"/>
      <c r="S44" s="50"/>
    </row>
    <row r="45" ht="15.75" customHeight="1">
      <c r="A45" s="357">
        <v>40.0</v>
      </c>
      <c r="B45" s="351" t="str">
        <f t="shared" si="1"/>
        <v/>
      </c>
      <c r="C45" s="366"/>
      <c r="D45" s="35"/>
      <c r="E45" s="285"/>
      <c r="F45" s="285"/>
      <c r="G45" s="285"/>
      <c r="H45" s="285"/>
      <c r="I45" s="285"/>
      <c r="J45" s="285"/>
      <c r="K45" s="285"/>
      <c r="L45" s="285"/>
      <c r="M45" s="285"/>
      <c r="N45" s="35"/>
      <c r="O45" s="285"/>
      <c r="P45" s="37" t="s">
        <v>821</v>
      </c>
      <c r="Q45" s="38"/>
      <c r="R45" s="35"/>
      <c r="S45" s="638"/>
    </row>
    <row r="46" ht="15.75" customHeight="1">
      <c r="A46" s="357">
        <v>41.0</v>
      </c>
      <c r="B46" s="351" t="str">
        <f t="shared" si="1"/>
        <v/>
      </c>
      <c r="C46" s="366"/>
      <c r="D46" s="35"/>
      <c r="E46" s="285"/>
      <c r="F46" s="285"/>
      <c r="G46" s="285"/>
      <c r="H46" s="285"/>
      <c r="I46" s="285"/>
      <c r="J46" s="285"/>
      <c r="K46" s="285"/>
      <c r="L46" s="285"/>
      <c r="M46" s="285"/>
      <c r="N46" s="35"/>
      <c r="O46" s="285"/>
      <c r="P46" s="37" t="s">
        <v>821</v>
      </c>
      <c r="Q46" s="35"/>
      <c r="R46" s="35"/>
      <c r="S46" s="636"/>
    </row>
    <row r="47" ht="15.75" customHeight="1">
      <c r="A47" s="357">
        <v>42.0</v>
      </c>
      <c r="B47" s="351" t="str">
        <f t="shared" si="1"/>
        <v/>
      </c>
      <c r="C47" s="366"/>
      <c r="D47" s="35"/>
      <c r="E47" s="285"/>
      <c r="F47" s="285"/>
      <c r="G47" s="285"/>
      <c r="H47" s="285"/>
      <c r="I47" s="285"/>
      <c r="J47" s="285"/>
      <c r="K47" s="285"/>
      <c r="L47" s="285"/>
      <c r="M47" s="285"/>
      <c r="N47" s="35"/>
      <c r="O47" s="285"/>
      <c r="P47" s="37" t="s">
        <v>821</v>
      </c>
      <c r="Q47" s="35"/>
      <c r="R47" s="35"/>
      <c r="S47" s="638"/>
    </row>
    <row r="48" ht="15.75" customHeight="1">
      <c r="A48" s="357">
        <v>43.0</v>
      </c>
      <c r="B48" s="351" t="str">
        <f t="shared" si="1"/>
        <v/>
      </c>
      <c r="C48" s="366"/>
      <c r="D48" s="35"/>
      <c r="E48" s="285"/>
      <c r="F48" s="285"/>
      <c r="G48" s="285"/>
      <c r="H48" s="285"/>
      <c r="I48" s="285"/>
      <c r="J48" s="285"/>
      <c r="K48" s="285"/>
      <c r="L48" s="285"/>
      <c r="M48" s="285"/>
      <c r="N48" s="35"/>
      <c r="O48" s="285"/>
      <c r="P48" s="37" t="s">
        <v>821</v>
      </c>
      <c r="Q48" s="38"/>
      <c r="R48" s="35"/>
      <c r="S48" s="638"/>
    </row>
    <row r="49" ht="15.75" customHeight="1">
      <c r="A49" s="357">
        <v>44.0</v>
      </c>
      <c r="B49" s="351" t="str">
        <f t="shared" si="1"/>
        <v/>
      </c>
      <c r="C49" s="366"/>
      <c r="D49" s="35"/>
      <c r="E49" s="285"/>
      <c r="F49" s="285"/>
      <c r="G49" s="285"/>
      <c r="H49" s="285"/>
      <c r="I49" s="285"/>
      <c r="J49" s="285"/>
      <c r="K49" s="285"/>
      <c r="L49" s="285"/>
      <c r="M49" s="285"/>
      <c r="N49" s="35"/>
      <c r="O49" s="285"/>
      <c r="P49" s="37" t="s">
        <v>821</v>
      </c>
      <c r="Q49" s="35"/>
      <c r="R49" s="35"/>
      <c r="S49" s="638"/>
    </row>
    <row r="50" ht="15.75" customHeight="1">
      <c r="A50" s="357">
        <v>45.0</v>
      </c>
      <c r="B50" s="351" t="str">
        <f t="shared" si="1"/>
        <v/>
      </c>
      <c r="C50" s="366"/>
      <c r="D50" s="35"/>
      <c r="E50" s="285"/>
      <c r="F50" s="285"/>
      <c r="G50" s="285"/>
      <c r="H50" s="285"/>
      <c r="I50" s="285"/>
      <c r="J50" s="285"/>
      <c r="K50" s="285"/>
      <c r="L50" s="285"/>
      <c r="M50" s="285"/>
      <c r="N50" s="35"/>
      <c r="O50" s="285"/>
      <c r="P50" s="37" t="s">
        <v>821</v>
      </c>
      <c r="Q50" s="35"/>
      <c r="R50" s="35"/>
      <c r="S50" s="638"/>
    </row>
    <row r="51" ht="15.75" customHeight="1">
      <c r="A51" s="357">
        <v>46.0</v>
      </c>
      <c r="B51" s="351" t="str">
        <f t="shared" si="1"/>
        <v/>
      </c>
      <c r="C51" s="366"/>
      <c r="D51" s="35"/>
      <c r="E51" s="285"/>
      <c r="F51" s="285"/>
      <c r="G51" s="285"/>
      <c r="H51" s="285"/>
      <c r="I51" s="285"/>
      <c r="J51" s="285"/>
      <c r="K51" s="285"/>
      <c r="L51" s="285"/>
      <c r="M51" s="285"/>
      <c r="N51" s="35"/>
      <c r="O51" s="285"/>
      <c r="P51" s="37" t="s">
        <v>821</v>
      </c>
      <c r="Q51" s="35"/>
      <c r="R51" s="35"/>
      <c r="S51" s="644"/>
    </row>
    <row r="52" ht="15.75" customHeight="1">
      <c r="A52" s="357">
        <v>47.0</v>
      </c>
      <c r="B52" s="351" t="str">
        <f t="shared" si="1"/>
        <v/>
      </c>
      <c r="C52" s="366"/>
      <c r="D52" s="35"/>
      <c r="E52" s="285"/>
      <c r="F52" s="389"/>
      <c r="G52" s="285"/>
      <c r="H52" s="285"/>
      <c r="I52" s="285"/>
      <c r="J52" s="285"/>
      <c r="K52" s="285"/>
      <c r="L52" s="285"/>
      <c r="M52" s="285"/>
      <c r="N52" s="35"/>
      <c r="O52" s="285"/>
      <c r="P52" s="37" t="s">
        <v>821</v>
      </c>
      <c r="Q52" s="35"/>
      <c r="R52" s="35"/>
      <c r="S52" s="638"/>
    </row>
    <row r="53" ht="15.75" customHeight="1">
      <c r="A53" s="357">
        <v>48.0</v>
      </c>
      <c r="B53" s="351" t="str">
        <f t="shared" si="1"/>
        <v/>
      </c>
      <c r="C53" s="366"/>
      <c r="D53" s="181"/>
      <c r="E53" s="285"/>
      <c r="F53" s="285"/>
      <c r="G53" s="285"/>
      <c r="H53" s="285"/>
      <c r="I53" s="285"/>
      <c r="J53" s="285"/>
      <c r="K53" s="285"/>
      <c r="L53" s="285"/>
      <c r="M53" s="285"/>
      <c r="N53" s="35"/>
      <c r="O53" s="285"/>
      <c r="P53" s="37" t="s">
        <v>821</v>
      </c>
      <c r="Q53" s="35"/>
      <c r="R53" s="35"/>
      <c r="S53" s="638"/>
    </row>
    <row r="54" ht="15.75" customHeight="1">
      <c r="A54" s="357">
        <v>49.0</v>
      </c>
      <c r="B54" s="351" t="str">
        <f t="shared" si="1"/>
        <v/>
      </c>
      <c r="C54" s="366"/>
      <c r="D54" s="35"/>
      <c r="E54" s="285"/>
      <c r="F54" s="285"/>
      <c r="G54" s="285"/>
      <c r="H54" s="285"/>
      <c r="I54" s="285"/>
      <c r="J54" s="285"/>
      <c r="K54" s="285"/>
      <c r="L54" s="285"/>
      <c r="M54" s="285"/>
      <c r="N54" s="35"/>
      <c r="O54" s="285"/>
      <c r="P54" s="37" t="s">
        <v>821</v>
      </c>
      <c r="Q54" s="35"/>
      <c r="R54" s="35"/>
      <c r="S54" s="638"/>
    </row>
    <row r="55" ht="15.75" customHeight="1">
      <c r="A55" s="357">
        <v>50.0</v>
      </c>
      <c r="B55" s="351" t="str">
        <f t="shared" si="1"/>
        <v/>
      </c>
      <c r="C55" s="366"/>
      <c r="D55" s="35"/>
      <c r="E55" s="285"/>
      <c r="F55" s="285"/>
      <c r="G55" s="285"/>
      <c r="H55" s="285"/>
      <c r="I55" s="285"/>
      <c r="J55" s="285"/>
      <c r="K55" s="285"/>
      <c r="L55" s="285"/>
      <c r="M55" s="285"/>
      <c r="N55" s="35"/>
      <c r="O55" s="285"/>
      <c r="P55" s="37" t="s">
        <v>821</v>
      </c>
      <c r="Q55" s="35"/>
      <c r="R55" s="35"/>
      <c r="S55" s="638"/>
    </row>
    <row r="56" ht="15.75" customHeight="1">
      <c r="A56" s="357">
        <v>51.0</v>
      </c>
      <c r="B56" s="351" t="str">
        <f t="shared" si="1"/>
        <v/>
      </c>
      <c r="C56" s="366"/>
      <c r="D56" s="35"/>
      <c r="E56" s="285"/>
      <c r="F56" s="285"/>
      <c r="G56" s="285"/>
      <c r="H56" s="285"/>
      <c r="I56" s="285"/>
      <c r="J56" s="285"/>
      <c r="K56" s="285"/>
      <c r="L56" s="285"/>
      <c r="M56" s="285"/>
      <c r="N56" s="35"/>
      <c r="O56" s="285"/>
      <c r="P56" s="37" t="s">
        <v>821</v>
      </c>
      <c r="Q56" s="35"/>
      <c r="R56" s="35"/>
      <c r="S56" s="50"/>
    </row>
    <row r="57" ht="15.75" customHeight="1">
      <c r="A57" s="357">
        <v>52.0</v>
      </c>
      <c r="B57" s="351" t="str">
        <f t="shared" si="1"/>
        <v/>
      </c>
      <c r="C57" s="366"/>
      <c r="D57" s="35"/>
      <c r="E57" s="285"/>
      <c r="F57" s="285"/>
      <c r="G57" s="285"/>
      <c r="H57" s="285"/>
      <c r="I57" s="285"/>
      <c r="J57" s="285"/>
      <c r="K57" s="285"/>
      <c r="L57" s="285"/>
      <c r="M57" s="285"/>
      <c r="N57" s="35"/>
      <c r="O57" s="285"/>
      <c r="P57" s="37" t="s">
        <v>821</v>
      </c>
      <c r="Q57" s="35"/>
      <c r="R57" s="35"/>
      <c r="S57" s="50"/>
    </row>
    <row r="58" ht="15.75" customHeight="1">
      <c r="A58" s="357">
        <v>53.0</v>
      </c>
      <c r="B58" s="351" t="str">
        <f t="shared" si="1"/>
        <v/>
      </c>
      <c r="C58" s="366"/>
      <c r="D58" s="35"/>
      <c r="E58" s="285"/>
      <c r="F58" s="285"/>
      <c r="G58" s="285"/>
      <c r="H58" s="285"/>
      <c r="I58" s="285"/>
      <c r="J58" s="285"/>
      <c r="K58" s="285"/>
      <c r="L58" s="285"/>
      <c r="M58" s="285"/>
      <c r="N58" s="35"/>
      <c r="O58" s="285"/>
      <c r="P58" s="37" t="s">
        <v>821</v>
      </c>
      <c r="Q58" s="35"/>
      <c r="R58" s="35"/>
      <c r="S58" s="638"/>
    </row>
    <row r="59" ht="15.75" customHeight="1">
      <c r="A59" s="357">
        <v>54.0</v>
      </c>
      <c r="B59" s="351" t="str">
        <f t="shared" si="1"/>
        <v/>
      </c>
      <c r="C59" s="366"/>
      <c r="D59" s="35"/>
      <c r="E59" s="285"/>
      <c r="F59" s="285"/>
      <c r="G59" s="285"/>
      <c r="H59" s="285"/>
      <c r="I59" s="285"/>
      <c r="J59" s="285"/>
      <c r="K59" s="285"/>
      <c r="L59" s="285"/>
      <c r="M59" s="285"/>
      <c r="N59" s="35"/>
      <c r="O59" s="285"/>
      <c r="P59" s="37" t="s">
        <v>821</v>
      </c>
      <c r="Q59" s="38"/>
      <c r="R59" s="35"/>
      <c r="S59" s="636"/>
    </row>
    <row r="60" ht="15.75" customHeight="1">
      <c r="A60" s="357">
        <v>55.0</v>
      </c>
      <c r="B60" s="351" t="str">
        <f t="shared" si="1"/>
        <v/>
      </c>
      <c r="C60" s="366"/>
      <c r="D60" s="35"/>
      <c r="E60" s="285"/>
      <c r="F60" s="285"/>
      <c r="G60" s="285"/>
      <c r="H60" s="285"/>
      <c r="I60" s="285"/>
      <c r="J60" s="285"/>
      <c r="K60" s="285"/>
      <c r="L60" s="285"/>
      <c r="M60" s="285"/>
      <c r="N60" s="35"/>
      <c r="O60" s="285"/>
      <c r="P60" s="37" t="s">
        <v>821</v>
      </c>
      <c r="Q60" s="35"/>
      <c r="R60" s="35"/>
      <c r="S60" s="638"/>
    </row>
    <row r="61" ht="15.75" customHeight="1">
      <c r="A61" s="357">
        <v>56.0</v>
      </c>
      <c r="B61" s="351" t="str">
        <f t="shared" si="1"/>
        <v/>
      </c>
      <c r="C61" s="386"/>
      <c r="D61" s="35"/>
      <c r="E61" s="285"/>
      <c r="F61" s="285"/>
      <c r="G61" s="285"/>
      <c r="H61" s="285"/>
      <c r="I61" s="285"/>
      <c r="J61" s="285"/>
      <c r="K61" s="285"/>
      <c r="L61" s="285"/>
      <c r="M61" s="285"/>
      <c r="N61" s="35"/>
      <c r="O61" s="285"/>
      <c r="P61" s="37" t="s">
        <v>821</v>
      </c>
      <c r="Q61" s="645"/>
      <c r="R61" s="645"/>
      <c r="S61" s="638"/>
    </row>
    <row r="62" ht="15.75" customHeight="1">
      <c r="A62" s="357">
        <v>57.0</v>
      </c>
      <c r="B62" s="351" t="str">
        <f t="shared" si="1"/>
        <v/>
      </c>
      <c r="C62" s="386"/>
      <c r="D62" s="35"/>
      <c r="E62" s="285"/>
      <c r="F62" s="285"/>
      <c r="G62" s="285"/>
      <c r="H62" s="285"/>
      <c r="I62" s="285"/>
      <c r="J62" s="285"/>
      <c r="K62" s="285"/>
      <c r="L62" s="285"/>
      <c r="M62" s="285"/>
      <c r="N62" s="35"/>
      <c r="O62" s="285"/>
      <c r="P62" s="37" t="s">
        <v>821</v>
      </c>
      <c r="Q62" s="35"/>
      <c r="R62" s="35"/>
      <c r="S62" s="638"/>
    </row>
    <row r="63" ht="15.75" customHeight="1">
      <c r="A63" s="357">
        <v>58.0</v>
      </c>
      <c r="B63" s="351" t="str">
        <f t="shared" si="1"/>
        <v/>
      </c>
      <c r="C63" s="386"/>
      <c r="D63" s="35"/>
      <c r="E63" s="285"/>
      <c r="F63" s="285"/>
      <c r="G63" s="285"/>
      <c r="H63" s="285"/>
      <c r="I63" s="285"/>
      <c r="J63" s="285"/>
      <c r="K63" s="285"/>
      <c r="L63" s="285"/>
      <c r="M63" s="285"/>
      <c r="N63" s="35"/>
      <c r="O63" s="285"/>
      <c r="P63" s="37" t="s">
        <v>821</v>
      </c>
      <c r="Q63" s="35"/>
      <c r="R63" s="35"/>
      <c r="S63" s="50"/>
    </row>
    <row r="64" ht="15.75" customHeight="1">
      <c r="A64" s="357">
        <v>59.0</v>
      </c>
      <c r="B64" s="351" t="str">
        <f t="shared" si="1"/>
        <v/>
      </c>
      <c r="C64" s="386"/>
      <c r="D64" s="35"/>
      <c r="E64" s="285"/>
      <c r="F64" s="285"/>
      <c r="G64" s="285"/>
      <c r="H64" s="285"/>
      <c r="I64" s="285"/>
      <c r="J64" s="285"/>
      <c r="K64" s="285"/>
      <c r="L64" s="285"/>
      <c r="M64" s="285"/>
      <c r="N64" s="35"/>
      <c r="O64" s="285"/>
      <c r="P64" s="37" t="s">
        <v>821</v>
      </c>
      <c r="Q64" s="35"/>
      <c r="R64" s="35"/>
      <c r="S64" s="638"/>
    </row>
    <row r="65" ht="15.75" customHeight="1">
      <c r="A65" s="357">
        <v>60.0</v>
      </c>
      <c r="B65" s="351" t="str">
        <f t="shared" si="1"/>
        <v/>
      </c>
      <c r="C65" s="386"/>
      <c r="D65" s="124"/>
      <c r="E65" s="285"/>
      <c r="F65" s="285"/>
      <c r="G65" s="285"/>
      <c r="H65" s="285"/>
      <c r="I65" s="285"/>
      <c r="J65" s="285"/>
      <c r="K65" s="285"/>
      <c r="L65" s="285"/>
      <c r="M65" s="285"/>
      <c r="N65" s="124"/>
      <c r="O65" s="285"/>
      <c r="P65" s="37" t="s">
        <v>821</v>
      </c>
      <c r="Q65" s="35"/>
      <c r="R65" s="35"/>
      <c r="S65" s="636"/>
    </row>
    <row r="66" ht="15.75" customHeight="1">
      <c r="A66" s="357">
        <v>61.0</v>
      </c>
      <c r="B66" s="351" t="str">
        <f t="shared" si="1"/>
        <v/>
      </c>
      <c r="C66" s="386"/>
      <c r="D66" s="35"/>
      <c r="E66" s="285"/>
      <c r="F66" s="285"/>
      <c r="G66" s="285"/>
      <c r="H66" s="285"/>
      <c r="I66" s="285"/>
      <c r="J66" s="285"/>
      <c r="K66" s="285"/>
      <c r="L66" s="285"/>
      <c r="M66" s="285"/>
      <c r="N66" s="35"/>
      <c r="O66" s="285"/>
      <c r="P66" s="37" t="s">
        <v>821</v>
      </c>
      <c r="Q66" s="35"/>
      <c r="R66" s="38"/>
      <c r="S66" s="638"/>
    </row>
    <row r="67" ht="15.75" customHeight="1">
      <c r="A67" s="357">
        <v>62.0</v>
      </c>
      <c r="B67" s="351" t="str">
        <f t="shared" si="1"/>
        <v/>
      </c>
      <c r="C67" s="386"/>
      <c r="D67" s="35"/>
      <c r="E67" s="285"/>
      <c r="F67" s="285"/>
      <c r="G67" s="285"/>
      <c r="H67" s="285"/>
      <c r="I67" s="285"/>
      <c r="J67" s="285"/>
      <c r="K67" s="285"/>
      <c r="L67" s="285"/>
      <c r="M67" s="285"/>
      <c r="N67" s="35"/>
      <c r="O67" s="285"/>
      <c r="P67" s="37" t="s">
        <v>821</v>
      </c>
      <c r="Q67" s="35"/>
      <c r="R67" s="35"/>
      <c r="S67" s="638"/>
    </row>
    <row r="68" ht="15.75" customHeight="1">
      <c r="A68" s="357">
        <v>63.0</v>
      </c>
      <c r="B68" s="351" t="str">
        <f t="shared" si="1"/>
        <v/>
      </c>
      <c r="C68" s="384"/>
      <c r="D68" s="35"/>
      <c r="E68" s="285"/>
      <c r="F68" s="285"/>
      <c r="G68" s="285"/>
      <c r="H68" s="285"/>
      <c r="I68" s="285"/>
      <c r="J68" s="285"/>
      <c r="K68" s="285"/>
      <c r="L68" s="285"/>
      <c r="M68" s="285"/>
      <c r="N68" s="35"/>
      <c r="O68" s="285"/>
      <c r="P68" s="37" t="s">
        <v>821</v>
      </c>
      <c r="Q68" s="35"/>
      <c r="R68" s="35"/>
      <c r="S68" s="638"/>
    </row>
    <row r="69" ht="15.75" customHeight="1">
      <c r="A69" s="357">
        <v>64.0</v>
      </c>
      <c r="B69" s="351" t="str">
        <f t="shared" si="1"/>
        <v/>
      </c>
      <c r="C69" s="384"/>
      <c r="D69" s="35"/>
      <c r="E69" s="285"/>
      <c r="F69" s="285"/>
      <c r="G69" s="285"/>
      <c r="H69" s="285"/>
      <c r="I69" s="285"/>
      <c r="J69" s="285"/>
      <c r="K69" s="285"/>
      <c r="L69" s="285"/>
      <c r="M69" s="285"/>
      <c r="N69" s="35"/>
      <c r="O69" s="285"/>
      <c r="P69" s="37" t="s">
        <v>821</v>
      </c>
      <c r="Q69" s="35"/>
      <c r="R69" s="35"/>
      <c r="S69" s="638"/>
    </row>
    <row r="70" ht="15.75" customHeight="1">
      <c r="A70" s="357">
        <v>65.0</v>
      </c>
      <c r="B70" s="351" t="str">
        <f t="shared" si="1"/>
        <v/>
      </c>
      <c r="C70" s="366"/>
      <c r="D70" s="35"/>
      <c r="E70" s="285"/>
      <c r="F70" s="285"/>
      <c r="G70" s="285"/>
      <c r="H70" s="285"/>
      <c r="I70" s="285"/>
      <c r="J70" s="285"/>
      <c r="K70" s="285"/>
      <c r="L70" s="285"/>
      <c r="M70" s="285"/>
      <c r="N70" s="35"/>
      <c r="O70" s="285"/>
      <c r="P70" s="37" t="s">
        <v>821</v>
      </c>
      <c r="Q70" s="35"/>
      <c r="R70" s="35"/>
      <c r="S70" s="638"/>
    </row>
    <row r="71" ht="15.75" customHeight="1">
      <c r="A71" s="310">
        <v>66.0</v>
      </c>
      <c r="B71" s="351" t="str">
        <f t="shared" si="1"/>
        <v/>
      </c>
      <c r="C71" s="386"/>
      <c r="D71" s="35"/>
      <c r="E71" s="285"/>
      <c r="F71" s="285"/>
      <c r="G71" s="285"/>
      <c r="H71" s="285"/>
      <c r="I71" s="285"/>
      <c r="J71" s="285"/>
      <c r="K71" s="285"/>
      <c r="L71" s="285"/>
      <c r="M71" s="285"/>
      <c r="N71" s="35"/>
      <c r="O71" s="285"/>
      <c r="P71" s="37" t="s">
        <v>821</v>
      </c>
      <c r="Q71" s="147"/>
      <c r="R71" s="147"/>
      <c r="S71" s="646"/>
    </row>
    <row r="72" ht="15.75" customHeight="1">
      <c r="A72" s="310">
        <v>67.0</v>
      </c>
      <c r="B72" s="351" t="str">
        <f t="shared" si="1"/>
        <v/>
      </c>
      <c r="C72" s="288"/>
      <c r="D72" s="35"/>
      <c r="E72" s="285"/>
      <c r="F72" s="285"/>
      <c r="G72" s="285"/>
      <c r="H72" s="285"/>
      <c r="I72" s="285"/>
      <c r="J72" s="285"/>
      <c r="K72" s="285"/>
      <c r="L72" s="285"/>
      <c r="M72" s="285"/>
      <c r="N72" s="35"/>
      <c r="O72" s="285"/>
      <c r="P72" s="37" t="s">
        <v>821</v>
      </c>
      <c r="Q72" s="38"/>
      <c r="R72" s="35"/>
      <c r="S72" s="647"/>
    </row>
    <row r="73" ht="15.75" customHeight="1">
      <c r="A73" s="310">
        <v>68.0</v>
      </c>
      <c r="B73" s="351" t="str">
        <f t="shared" si="1"/>
        <v/>
      </c>
      <c r="C73" s="288"/>
      <c r="D73" s="35"/>
      <c r="E73" s="285"/>
      <c r="F73" s="285"/>
      <c r="G73" s="285"/>
      <c r="H73" s="285"/>
      <c r="I73" s="285"/>
      <c r="J73" s="285"/>
      <c r="K73" s="285"/>
      <c r="L73" s="285"/>
      <c r="M73" s="285"/>
      <c r="N73" s="35"/>
      <c r="O73" s="285"/>
      <c r="P73" s="37" t="s">
        <v>821</v>
      </c>
      <c r="Q73" s="35"/>
      <c r="R73" s="35"/>
      <c r="S73" s="636"/>
    </row>
    <row r="74" ht="15.75" customHeight="1">
      <c r="A74" s="310">
        <v>69.0</v>
      </c>
      <c r="B74" s="351" t="str">
        <f t="shared" si="1"/>
        <v/>
      </c>
      <c r="C74" s="281"/>
      <c r="D74" s="35"/>
      <c r="E74" s="285"/>
      <c r="F74" s="285"/>
      <c r="G74" s="285"/>
      <c r="H74" s="285"/>
      <c r="I74" s="285"/>
      <c r="J74" s="285"/>
      <c r="K74" s="285"/>
      <c r="L74" s="285"/>
      <c r="M74" s="285"/>
      <c r="N74" s="35"/>
      <c r="O74" s="285"/>
      <c r="P74" s="37" t="s">
        <v>821</v>
      </c>
      <c r="Q74" s="38"/>
      <c r="R74" s="35"/>
      <c r="S74" s="636"/>
    </row>
    <row r="75" ht="15.75" customHeight="1">
      <c r="A75" s="310">
        <v>70.0</v>
      </c>
      <c r="B75" s="351" t="str">
        <f t="shared" si="1"/>
        <v/>
      </c>
      <c r="C75" s="288"/>
      <c r="D75" s="35"/>
      <c r="E75" s="285"/>
      <c r="F75" s="285"/>
      <c r="G75" s="285"/>
      <c r="H75" s="285"/>
      <c r="I75" s="285"/>
      <c r="J75" s="285"/>
      <c r="K75" s="285"/>
      <c r="L75" s="285"/>
      <c r="M75" s="285"/>
      <c r="N75" s="35"/>
      <c r="O75" s="285"/>
      <c r="P75" s="37" t="s">
        <v>821</v>
      </c>
      <c r="Q75" s="35"/>
      <c r="R75" s="35"/>
      <c r="S75" s="647"/>
    </row>
    <row r="76" ht="15.75" customHeight="1">
      <c r="A76" s="310">
        <v>71.0</v>
      </c>
      <c r="B76" s="351" t="str">
        <f t="shared" si="1"/>
        <v/>
      </c>
      <c r="C76" s="361"/>
      <c r="D76" s="35"/>
      <c r="E76" s="285"/>
      <c r="F76" s="285"/>
      <c r="G76" s="285"/>
      <c r="H76" s="285"/>
      <c r="I76" s="285"/>
      <c r="J76" s="285"/>
      <c r="K76" s="285"/>
      <c r="L76" s="285"/>
      <c r="M76" s="285"/>
      <c r="N76" s="35"/>
      <c r="O76" s="285"/>
      <c r="P76" s="37" t="s">
        <v>821</v>
      </c>
      <c r="Q76" s="35"/>
      <c r="R76" s="35"/>
      <c r="S76" s="636"/>
    </row>
    <row r="77" ht="15.75" customHeight="1">
      <c r="A77" s="310">
        <v>72.0</v>
      </c>
      <c r="B77" s="351" t="str">
        <f t="shared" si="1"/>
        <v/>
      </c>
      <c r="C77" s="288"/>
      <c r="D77" s="167"/>
      <c r="E77" s="285"/>
      <c r="F77" s="285"/>
      <c r="G77" s="285"/>
      <c r="H77" s="285"/>
      <c r="I77" s="285"/>
      <c r="J77" s="285"/>
      <c r="K77" s="285"/>
      <c r="L77" s="285"/>
      <c r="M77" s="285"/>
      <c r="N77" s="648"/>
      <c r="O77" s="285"/>
      <c r="P77" s="37" t="s">
        <v>821</v>
      </c>
      <c r="Q77" s="35"/>
      <c r="R77" s="35"/>
      <c r="S77" s="647"/>
    </row>
    <row r="78" ht="15.75" customHeight="1">
      <c r="A78" s="310">
        <v>73.0</v>
      </c>
      <c r="B78" s="351" t="str">
        <f t="shared" si="1"/>
        <v/>
      </c>
      <c r="C78" s="281"/>
      <c r="D78" s="35"/>
      <c r="E78" s="285"/>
      <c r="F78" s="285"/>
      <c r="G78" s="285"/>
      <c r="H78" s="285"/>
      <c r="I78" s="285"/>
      <c r="J78" s="285"/>
      <c r="K78" s="285"/>
      <c r="L78" s="285"/>
      <c r="M78" s="285"/>
      <c r="N78" s="35"/>
      <c r="O78" s="285"/>
      <c r="P78" s="37" t="s">
        <v>821</v>
      </c>
      <c r="Q78" s="35"/>
      <c r="R78" s="35"/>
      <c r="S78" s="636"/>
    </row>
    <row r="79" ht="15.75" customHeight="1">
      <c r="A79" s="310">
        <v>74.0</v>
      </c>
      <c r="B79" s="351" t="str">
        <f t="shared" si="1"/>
        <v/>
      </c>
      <c r="C79" s="281"/>
      <c r="D79" s="124"/>
      <c r="E79" s="643"/>
      <c r="F79" s="285"/>
      <c r="G79" s="285"/>
      <c r="H79" s="285"/>
      <c r="I79" s="285"/>
      <c r="J79" s="285"/>
      <c r="K79" s="285"/>
      <c r="L79" s="285"/>
      <c r="M79" s="285"/>
      <c r="N79" s="35"/>
      <c r="O79" s="285"/>
      <c r="P79" s="37" t="s">
        <v>821</v>
      </c>
      <c r="Q79" s="144"/>
      <c r="R79" s="144"/>
      <c r="S79" s="649"/>
    </row>
    <row r="80" ht="15.75" customHeight="1">
      <c r="A80" s="310">
        <v>75.0</v>
      </c>
      <c r="B80" s="351" t="str">
        <f t="shared" si="1"/>
        <v/>
      </c>
      <c r="C80" s="281"/>
      <c r="D80" s="35"/>
      <c r="E80" s="285"/>
      <c r="F80" s="285"/>
      <c r="G80" s="285"/>
      <c r="H80" s="285"/>
      <c r="I80" s="285"/>
      <c r="J80" s="285"/>
      <c r="K80" s="285"/>
      <c r="L80" s="285"/>
      <c r="M80" s="285"/>
      <c r="N80" s="35"/>
      <c r="O80" s="285"/>
      <c r="P80" s="37" t="s">
        <v>821</v>
      </c>
      <c r="Q80" s="35"/>
      <c r="R80" s="35"/>
      <c r="S80" s="647"/>
    </row>
    <row r="81" ht="15.75" customHeight="1">
      <c r="A81" s="310">
        <v>76.0</v>
      </c>
      <c r="B81" s="351" t="str">
        <f t="shared" si="1"/>
        <v/>
      </c>
      <c r="C81" s="288"/>
      <c r="D81" s="35"/>
      <c r="E81" s="285"/>
      <c r="F81" s="285"/>
      <c r="G81" s="285"/>
      <c r="H81" s="285"/>
      <c r="I81" s="285"/>
      <c r="J81" s="285"/>
      <c r="K81" s="285"/>
      <c r="L81" s="285"/>
      <c r="M81" s="285"/>
      <c r="N81" s="35"/>
      <c r="O81" s="285"/>
      <c r="P81" s="37" t="s">
        <v>821</v>
      </c>
      <c r="Q81" s="147"/>
      <c r="R81" s="147"/>
      <c r="S81" s="649"/>
    </row>
    <row r="82" ht="15.75" customHeight="1">
      <c r="A82" s="310">
        <v>77.0</v>
      </c>
      <c r="B82" s="351" t="str">
        <f t="shared" si="1"/>
        <v/>
      </c>
      <c r="C82" s="281"/>
      <c r="D82" s="147"/>
      <c r="E82" s="650"/>
      <c r="F82" s="650"/>
      <c r="G82" s="650"/>
      <c r="H82" s="650"/>
      <c r="I82" s="650"/>
      <c r="J82" s="650"/>
      <c r="K82" s="650"/>
      <c r="L82" s="285"/>
      <c r="M82" s="650"/>
      <c r="N82" s="147"/>
      <c r="O82" s="650"/>
      <c r="P82" s="37" t="s">
        <v>821</v>
      </c>
      <c r="Q82" s="147"/>
      <c r="R82" s="144"/>
      <c r="S82" s="649"/>
    </row>
    <row r="83" ht="15.75" customHeight="1">
      <c r="A83" s="310">
        <v>78.0</v>
      </c>
      <c r="B83" s="351" t="str">
        <f t="shared" si="1"/>
        <v/>
      </c>
      <c r="C83" s="386"/>
      <c r="D83" s="147"/>
      <c r="E83" s="650"/>
      <c r="F83" s="650"/>
      <c r="G83" s="650"/>
      <c r="H83" s="650"/>
      <c r="I83" s="650"/>
      <c r="J83" s="650"/>
      <c r="K83" s="650"/>
      <c r="L83" s="285"/>
      <c r="M83" s="650"/>
      <c r="N83" s="147"/>
      <c r="O83" s="650"/>
      <c r="P83" s="37" t="s">
        <v>821</v>
      </c>
      <c r="Q83" s="147"/>
      <c r="R83" s="147"/>
      <c r="S83" s="649"/>
    </row>
    <row r="84" ht="15.75" customHeight="1">
      <c r="A84" s="310">
        <v>79.0</v>
      </c>
      <c r="B84" s="351" t="str">
        <f t="shared" si="1"/>
        <v/>
      </c>
      <c r="C84" s="386"/>
      <c r="D84" s="147"/>
      <c r="E84" s="650"/>
      <c r="F84" s="650"/>
      <c r="G84" s="650"/>
      <c r="H84" s="650"/>
      <c r="I84" s="650"/>
      <c r="J84" s="650"/>
      <c r="K84" s="650"/>
      <c r="L84" s="285"/>
      <c r="M84" s="650"/>
      <c r="N84" s="147"/>
      <c r="O84" s="650"/>
      <c r="P84" s="37" t="s">
        <v>821</v>
      </c>
      <c r="Q84" s="147"/>
      <c r="R84" s="147"/>
      <c r="S84" s="649"/>
    </row>
    <row r="85" ht="15.75" customHeight="1">
      <c r="A85" s="310">
        <v>80.0</v>
      </c>
      <c r="B85" s="351" t="str">
        <f t="shared" si="1"/>
        <v/>
      </c>
      <c r="C85" s="288"/>
      <c r="D85" s="147"/>
      <c r="E85" s="650"/>
      <c r="F85" s="650"/>
      <c r="G85" s="650"/>
      <c r="H85" s="650"/>
      <c r="I85" s="650"/>
      <c r="J85" s="650"/>
      <c r="K85" s="650"/>
      <c r="L85" s="285"/>
      <c r="M85" s="650"/>
      <c r="N85" s="147"/>
      <c r="O85" s="650"/>
      <c r="P85" s="37" t="s">
        <v>821</v>
      </c>
      <c r="Q85" s="147"/>
      <c r="R85" s="147"/>
      <c r="S85" s="636"/>
    </row>
    <row r="86" ht="15.75" customHeight="1">
      <c r="A86" s="310">
        <v>81.0</v>
      </c>
      <c r="B86" s="351" t="str">
        <f t="shared" si="1"/>
        <v/>
      </c>
      <c r="C86" s="288"/>
      <c r="D86" s="35"/>
      <c r="E86" s="285"/>
      <c r="F86" s="285"/>
      <c r="G86" s="285"/>
      <c r="H86" s="285"/>
      <c r="I86" s="285"/>
      <c r="J86" s="285"/>
      <c r="K86" s="285"/>
      <c r="L86" s="285"/>
      <c r="M86" s="285"/>
      <c r="N86" s="35"/>
      <c r="O86" s="285"/>
      <c r="P86" s="37" t="s">
        <v>821</v>
      </c>
      <c r="Q86" s="35"/>
      <c r="R86" s="35"/>
      <c r="S86" s="647"/>
    </row>
    <row r="87" ht="15.75" customHeight="1">
      <c r="A87" s="310">
        <v>82.0</v>
      </c>
      <c r="B87" s="351" t="str">
        <f t="shared" si="1"/>
        <v/>
      </c>
      <c r="C87" s="288"/>
      <c r="D87" s="35"/>
      <c r="E87" s="285"/>
      <c r="F87" s="285"/>
      <c r="G87" s="285"/>
      <c r="H87" s="285"/>
      <c r="I87" s="285"/>
      <c r="J87" s="285"/>
      <c r="K87" s="285"/>
      <c r="L87" s="285"/>
      <c r="M87" s="285"/>
      <c r="N87" s="35"/>
      <c r="O87" s="285"/>
      <c r="P87" s="37" t="s">
        <v>821</v>
      </c>
      <c r="Q87" s="167"/>
      <c r="R87" s="167"/>
      <c r="S87" s="636"/>
    </row>
    <row r="88" ht="15.75" customHeight="1">
      <c r="A88" s="310">
        <v>83.0</v>
      </c>
      <c r="B88" s="351" t="str">
        <f t="shared" si="1"/>
        <v/>
      </c>
      <c r="C88" s="288"/>
      <c r="D88" s="35"/>
      <c r="E88" s="285"/>
      <c r="F88" s="285"/>
      <c r="G88" s="285"/>
      <c r="H88" s="285"/>
      <c r="I88" s="285"/>
      <c r="J88" s="285"/>
      <c r="K88" s="285"/>
      <c r="L88" s="285"/>
      <c r="M88" s="285"/>
      <c r="N88" s="35"/>
      <c r="O88" s="285"/>
      <c r="P88" s="37" t="s">
        <v>821</v>
      </c>
      <c r="Q88" s="167"/>
      <c r="R88" s="167"/>
      <c r="S88" s="636"/>
    </row>
    <row r="89" ht="15.75" customHeight="1">
      <c r="A89" s="310">
        <v>84.0</v>
      </c>
      <c r="B89" s="351" t="str">
        <f t="shared" si="1"/>
        <v/>
      </c>
      <c r="C89" s="288"/>
      <c r="D89" s="175"/>
      <c r="E89" s="651"/>
      <c r="F89" s="285"/>
      <c r="G89" s="285"/>
      <c r="H89" s="285"/>
      <c r="I89" s="285"/>
      <c r="J89" s="285"/>
      <c r="K89" s="285"/>
      <c r="L89" s="285"/>
      <c r="M89" s="285"/>
      <c r="N89" s="35"/>
      <c r="O89" s="285"/>
      <c r="P89" s="37" t="s">
        <v>821</v>
      </c>
      <c r="Q89" s="167"/>
      <c r="R89" s="167"/>
      <c r="S89" s="636"/>
    </row>
    <row r="90" ht="15.75" customHeight="1">
      <c r="A90" s="310">
        <v>85.0</v>
      </c>
      <c r="B90" s="351" t="str">
        <f t="shared" si="1"/>
        <v/>
      </c>
      <c r="C90" s="288"/>
      <c r="D90" s="35"/>
      <c r="E90" s="285"/>
      <c r="F90" s="285"/>
      <c r="G90" s="285"/>
      <c r="H90" s="285"/>
      <c r="I90" s="285"/>
      <c r="J90" s="285"/>
      <c r="K90" s="285"/>
      <c r="L90" s="285"/>
      <c r="M90" s="285"/>
      <c r="N90" s="35"/>
      <c r="O90" s="285"/>
      <c r="P90" s="37" t="s">
        <v>821</v>
      </c>
      <c r="Q90" s="167"/>
      <c r="R90" s="167"/>
      <c r="S90" s="636"/>
    </row>
    <row r="91" ht="15.75" customHeight="1">
      <c r="A91" s="310">
        <v>86.0</v>
      </c>
      <c r="B91" s="351" t="str">
        <f t="shared" si="1"/>
        <v/>
      </c>
      <c r="C91" s="288"/>
      <c r="D91" s="35"/>
      <c r="E91" s="285"/>
      <c r="F91" s="285"/>
      <c r="G91" s="285"/>
      <c r="H91" s="285"/>
      <c r="I91" s="285"/>
      <c r="J91" s="285"/>
      <c r="K91" s="285"/>
      <c r="L91" s="285"/>
      <c r="M91" s="285"/>
      <c r="N91" s="35"/>
      <c r="O91" s="285"/>
      <c r="P91" s="37" t="s">
        <v>821</v>
      </c>
      <c r="Q91" s="170"/>
      <c r="R91" s="167"/>
      <c r="S91" s="636"/>
    </row>
    <row r="92" ht="15.75" customHeight="1">
      <c r="A92" s="310">
        <v>87.0</v>
      </c>
      <c r="B92" s="351" t="str">
        <f t="shared" si="1"/>
        <v/>
      </c>
      <c r="C92" s="288"/>
      <c r="D92" s="35"/>
      <c r="E92" s="285"/>
      <c r="F92" s="285"/>
      <c r="G92" s="285"/>
      <c r="H92" s="285"/>
      <c r="I92" s="285"/>
      <c r="J92" s="285"/>
      <c r="K92" s="285"/>
      <c r="L92" s="285"/>
      <c r="M92" s="285"/>
      <c r="N92" s="35"/>
      <c r="O92" s="285"/>
      <c r="P92" s="37" t="s">
        <v>821</v>
      </c>
      <c r="Q92" s="167"/>
      <c r="R92" s="167"/>
      <c r="S92" s="636"/>
    </row>
    <row r="93" ht="15.75" customHeight="1">
      <c r="A93" s="310">
        <v>88.0</v>
      </c>
      <c r="B93" s="351" t="str">
        <f t="shared" si="1"/>
        <v/>
      </c>
      <c r="C93" s="288"/>
      <c r="D93" s="35"/>
      <c r="E93" s="285"/>
      <c r="F93" s="285"/>
      <c r="G93" s="285"/>
      <c r="H93" s="285"/>
      <c r="I93" s="285"/>
      <c r="J93" s="285"/>
      <c r="K93" s="285"/>
      <c r="L93" s="285"/>
      <c r="M93" s="285"/>
      <c r="N93" s="35"/>
      <c r="O93" s="285"/>
      <c r="P93" s="37" t="s">
        <v>821</v>
      </c>
      <c r="Q93" s="181"/>
      <c r="R93" s="181"/>
      <c r="S93" s="636"/>
    </row>
    <row r="94" ht="15.75" customHeight="1">
      <c r="A94" s="310">
        <v>89.0</v>
      </c>
      <c r="B94" s="351" t="str">
        <f t="shared" si="1"/>
        <v/>
      </c>
      <c r="C94" s="288"/>
      <c r="D94" s="35"/>
      <c r="E94" s="285"/>
      <c r="F94" s="285"/>
      <c r="G94" s="285"/>
      <c r="H94" s="285"/>
      <c r="I94" s="285"/>
      <c r="J94" s="285"/>
      <c r="K94" s="285"/>
      <c r="L94" s="285"/>
      <c r="M94" s="285"/>
      <c r="N94" s="35"/>
      <c r="O94" s="285"/>
      <c r="P94" s="37" t="s">
        <v>821</v>
      </c>
      <c r="Q94" s="181"/>
      <c r="R94" s="181"/>
      <c r="S94" s="652"/>
    </row>
    <row r="95" ht="15.75" customHeight="1">
      <c r="A95" s="310">
        <v>90.0</v>
      </c>
      <c r="B95" s="351" t="str">
        <f t="shared" si="1"/>
        <v/>
      </c>
      <c r="C95" s="288"/>
      <c r="D95" s="35"/>
      <c r="E95" s="285"/>
      <c r="F95" s="285"/>
      <c r="G95" s="285"/>
      <c r="H95" s="285"/>
      <c r="I95" s="285"/>
      <c r="J95" s="285"/>
      <c r="K95" s="285"/>
      <c r="L95" s="285"/>
      <c r="M95" s="285"/>
      <c r="N95" s="35"/>
      <c r="O95" s="285"/>
      <c r="P95" s="37" t="s">
        <v>821</v>
      </c>
      <c r="Q95" s="181"/>
      <c r="R95" s="181"/>
      <c r="S95" s="652"/>
    </row>
    <row r="96" ht="15.75" customHeight="1">
      <c r="A96" s="310">
        <v>91.0</v>
      </c>
      <c r="B96" s="351" t="str">
        <f t="shared" si="1"/>
        <v/>
      </c>
      <c r="C96" s="288"/>
      <c r="D96" s="35"/>
      <c r="E96" s="285"/>
      <c r="F96" s="285"/>
      <c r="G96" s="285"/>
      <c r="H96" s="285"/>
      <c r="I96" s="285"/>
      <c r="J96" s="285"/>
      <c r="K96" s="285"/>
      <c r="L96" s="285"/>
      <c r="M96" s="285"/>
      <c r="N96" s="147"/>
      <c r="O96" s="285"/>
      <c r="P96" s="37" t="s">
        <v>821</v>
      </c>
      <c r="Q96" s="181"/>
      <c r="R96" s="181"/>
      <c r="S96" s="636"/>
    </row>
    <row r="97" ht="15.75" customHeight="1">
      <c r="A97" s="310">
        <v>92.0</v>
      </c>
      <c r="B97" s="351" t="str">
        <f t="shared" si="1"/>
        <v/>
      </c>
      <c r="C97" s="288"/>
      <c r="D97" s="35"/>
      <c r="E97" s="285"/>
      <c r="F97" s="285"/>
      <c r="G97" s="285"/>
      <c r="H97" s="285"/>
      <c r="I97" s="285"/>
      <c r="J97" s="285"/>
      <c r="K97" s="285"/>
      <c r="L97" s="285"/>
      <c r="M97" s="285"/>
      <c r="N97" s="147"/>
      <c r="O97" s="285"/>
      <c r="P97" s="37" t="s">
        <v>821</v>
      </c>
      <c r="Q97" s="170"/>
      <c r="R97" s="181"/>
      <c r="S97" s="636"/>
    </row>
    <row r="98" ht="15.75" customHeight="1">
      <c r="A98" s="310">
        <v>93.0</v>
      </c>
      <c r="B98" s="351" t="str">
        <f t="shared" si="1"/>
        <v/>
      </c>
      <c r="C98" s="288"/>
      <c r="D98" s="653"/>
      <c r="E98" s="285"/>
      <c r="F98" s="285"/>
      <c r="G98" s="285"/>
      <c r="H98" s="285"/>
      <c r="I98" s="285"/>
      <c r="J98" s="285"/>
      <c r="K98" s="285"/>
      <c r="L98" s="285"/>
      <c r="M98" s="285"/>
      <c r="N98" s="167"/>
      <c r="O98" s="285"/>
      <c r="P98" s="37" t="s">
        <v>821</v>
      </c>
      <c r="Q98" s="167"/>
      <c r="R98" s="181"/>
      <c r="S98" s="652"/>
    </row>
    <row r="99" ht="15.75" customHeight="1">
      <c r="A99" s="310">
        <v>94.0</v>
      </c>
      <c r="B99" s="351" t="str">
        <f t="shared" si="1"/>
        <v/>
      </c>
      <c r="C99" s="366"/>
      <c r="D99" s="167"/>
      <c r="E99" s="285"/>
      <c r="F99" s="285"/>
      <c r="G99" s="285"/>
      <c r="H99" s="285"/>
      <c r="I99" s="285"/>
      <c r="J99" s="285"/>
      <c r="K99" s="285"/>
      <c r="L99" s="285"/>
      <c r="M99" s="285"/>
      <c r="N99" s="167"/>
      <c r="O99" s="285"/>
      <c r="P99" s="37" t="s">
        <v>821</v>
      </c>
      <c r="Q99" s="167"/>
      <c r="R99" s="181"/>
      <c r="S99" s="636"/>
    </row>
    <row r="100" ht="15.75" customHeight="1">
      <c r="A100" s="310">
        <v>95.0</v>
      </c>
      <c r="B100" s="351" t="str">
        <f t="shared" si="1"/>
        <v/>
      </c>
      <c r="C100" s="288"/>
      <c r="D100" s="167"/>
      <c r="E100" s="285"/>
      <c r="F100" s="285"/>
      <c r="G100" s="285"/>
      <c r="H100" s="285"/>
      <c r="I100" s="285"/>
      <c r="J100" s="285"/>
      <c r="K100" s="285"/>
      <c r="L100" s="285"/>
      <c r="M100" s="285"/>
      <c r="N100" s="178"/>
      <c r="O100" s="285"/>
      <c r="P100" s="37" t="s">
        <v>821</v>
      </c>
      <c r="Q100" s="170"/>
      <c r="R100" s="181"/>
      <c r="S100" s="636"/>
    </row>
    <row r="101" ht="15.75" customHeight="1">
      <c r="A101" s="310">
        <v>96.0</v>
      </c>
      <c r="B101" s="351" t="str">
        <f t="shared" si="1"/>
        <v/>
      </c>
      <c r="C101" s="288"/>
      <c r="D101" s="167"/>
      <c r="E101" s="285"/>
      <c r="F101" s="285"/>
      <c r="G101" s="285"/>
      <c r="H101" s="285"/>
      <c r="I101" s="285"/>
      <c r="J101" s="285"/>
      <c r="K101" s="285"/>
      <c r="L101" s="285"/>
      <c r="M101" s="285"/>
      <c r="N101" s="167"/>
      <c r="O101" s="285"/>
      <c r="P101" s="37" t="s">
        <v>821</v>
      </c>
      <c r="Q101" s="167"/>
      <c r="R101" s="181"/>
      <c r="S101" s="636"/>
    </row>
    <row r="102" ht="15.75" customHeight="1">
      <c r="A102" s="310">
        <v>97.0</v>
      </c>
      <c r="B102" s="351" t="str">
        <f t="shared" si="1"/>
        <v/>
      </c>
      <c r="C102" s="288"/>
      <c r="D102" s="167"/>
      <c r="E102" s="285"/>
      <c r="F102" s="285"/>
      <c r="G102" s="285"/>
      <c r="H102" s="285"/>
      <c r="I102" s="285"/>
      <c r="J102" s="285"/>
      <c r="K102" s="285"/>
      <c r="L102" s="285"/>
      <c r="M102" s="285"/>
      <c r="N102" s="167"/>
      <c r="O102" s="285"/>
      <c r="P102" s="37" t="s">
        <v>821</v>
      </c>
      <c r="Q102" s="167"/>
      <c r="R102" s="181"/>
      <c r="S102" s="652"/>
    </row>
    <row r="103" ht="15.75" customHeight="1">
      <c r="A103" s="310">
        <v>98.0</v>
      </c>
      <c r="B103" s="351" t="str">
        <f t="shared" si="1"/>
        <v/>
      </c>
      <c r="C103" s="320"/>
      <c r="D103" s="167"/>
      <c r="E103" s="285"/>
      <c r="F103" s="285"/>
      <c r="G103" s="285"/>
      <c r="H103" s="285"/>
      <c r="I103" s="285"/>
      <c r="J103" s="285"/>
      <c r="K103" s="285"/>
      <c r="L103" s="285"/>
      <c r="M103" s="285"/>
      <c r="N103" s="167"/>
      <c r="O103" s="285"/>
      <c r="P103" s="37" t="s">
        <v>821</v>
      </c>
      <c r="Q103" s="167"/>
      <c r="R103" s="167"/>
      <c r="S103" s="652"/>
    </row>
    <row r="104" ht="15.75" customHeight="1">
      <c r="A104" s="310">
        <v>99.0</v>
      </c>
      <c r="B104" s="351" t="str">
        <f t="shared" si="1"/>
        <v/>
      </c>
      <c r="C104" s="320"/>
      <c r="D104" s="35"/>
      <c r="E104" s="285"/>
      <c r="F104" s="285"/>
      <c r="G104" s="285"/>
      <c r="H104" s="285"/>
      <c r="I104" s="285"/>
      <c r="J104" s="285"/>
      <c r="K104" s="285"/>
      <c r="L104" s="285"/>
      <c r="M104" s="285"/>
      <c r="N104" s="180"/>
      <c r="O104" s="285"/>
      <c r="P104" s="37" t="s">
        <v>821</v>
      </c>
      <c r="Q104" s="167"/>
      <c r="R104" s="181"/>
      <c r="S104" s="652"/>
    </row>
    <row r="105" ht="15.75" customHeight="1">
      <c r="A105" s="310">
        <v>100.0</v>
      </c>
      <c r="B105" s="351" t="str">
        <f t="shared" si="1"/>
        <v/>
      </c>
      <c r="C105" s="320"/>
      <c r="D105" s="35"/>
      <c r="E105" s="285"/>
      <c r="F105" s="285"/>
      <c r="G105" s="285"/>
      <c r="H105" s="285"/>
      <c r="I105" s="285"/>
      <c r="J105" s="285"/>
      <c r="K105" s="285"/>
      <c r="L105" s="285"/>
      <c r="M105" s="285"/>
      <c r="N105" s="181"/>
      <c r="O105" s="285"/>
      <c r="P105" s="37" t="s">
        <v>821</v>
      </c>
      <c r="Q105" s="167"/>
      <c r="R105" s="181"/>
      <c r="S105" s="652"/>
    </row>
    <row r="106" ht="15.75" customHeight="1">
      <c r="A106" s="310">
        <v>101.0</v>
      </c>
      <c r="B106" s="351" t="str">
        <f t="shared" si="1"/>
        <v/>
      </c>
      <c r="C106" s="320"/>
      <c r="D106" s="654"/>
      <c r="E106" s="285"/>
      <c r="F106" s="285"/>
      <c r="G106" s="285"/>
      <c r="H106" s="285"/>
      <c r="I106" s="285"/>
      <c r="J106" s="285"/>
      <c r="K106" s="285"/>
      <c r="L106" s="285"/>
      <c r="M106" s="285"/>
      <c r="N106" s="181"/>
      <c r="O106" s="285"/>
      <c r="P106" s="37" t="s">
        <v>821</v>
      </c>
      <c r="Q106" s="167"/>
      <c r="R106" s="181"/>
      <c r="S106" s="652"/>
    </row>
    <row r="107" ht="15.75" customHeight="1">
      <c r="A107" s="310">
        <v>102.0</v>
      </c>
      <c r="B107" s="351" t="str">
        <f t="shared" si="1"/>
        <v/>
      </c>
      <c r="C107" s="288"/>
      <c r="D107" s="167"/>
      <c r="E107" s="285"/>
      <c r="F107" s="285"/>
      <c r="G107" s="285"/>
      <c r="H107" s="285"/>
      <c r="I107" s="285"/>
      <c r="J107" s="285"/>
      <c r="K107" s="285"/>
      <c r="L107" s="285"/>
      <c r="M107" s="285"/>
      <c r="N107" s="181"/>
      <c r="O107" s="285"/>
      <c r="P107" s="37" t="s">
        <v>821</v>
      </c>
      <c r="Q107" s="167"/>
      <c r="R107" s="181"/>
      <c r="S107" s="652"/>
    </row>
    <row r="108" ht="15.75" customHeight="1">
      <c r="A108" s="310">
        <v>103.0</v>
      </c>
      <c r="B108" s="351" t="str">
        <f t="shared" si="1"/>
        <v/>
      </c>
      <c r="C108" s="366"/>
      <c r="D108" s="653"/>
      <c r="E108" s="285"/>
      <c r="F108" s="285"/>
      <c r="G108" s="285"/>
      <c r="H108" s="285"/>
      <c r="I108" s="285"/>
      <c r="J108" s="285"/>
      <c r="K108" s="285"/>
      <c r="L108" s="285"/>
      <c r="M108" s="285"/>
      <c r="N108" s="180"/>
      <c r="O108" s="285"/>
      <c r="P108" s="37" t="s">
        <v>821</v>
      </c>
      <c r="Q108" s="181"/>
      <c r="R108" s="181"/>
      <c r="S108" s="636"/>
    </row>
    <row r="109" ht="15.75" customHeight="1">
      <c r="A109" s="310">
        <v>104.0</v>
      </c>
      <c r="B109" s="351" t="str">
        <f t="shared" si="1"/>
        <v/>
      </c>
      <c r="C109" s="366"/>
      <c r="D109" s="167"/>
      <c r="E109" s="285"/>
      <c r="F109" s="285"/>
      <c r="G109" s="285"/>
      <c r="H109" s="285"/>
      <c r="I109" s="285"/>
      <c r="J109" s="285"/>
      <c r="K109" s="285"/>
      <c r="L109" s="285"/>
      <c r="M109" s="285"/>
      <c r="N109" s="180"/>
      <c r="O109" s="285"/>
      <c r="P109" s="37" t="s">
        <v>821</v>
      </c>
      <c r="Q109" s="181"/>
      <c r="R109" s="181"/>
      <c r="S109" s="636"/>
    </row>
    <row r="110" ht="15.75" customHeight="1">
      <c r="A110" s="310">
        <v>105.0</v>
      </c>
      <c r="B110" s="351" t="str">
        <f t="shared" si="1"/>
        <v/>
      </c>
      <c r="C110" s="655"/>
      <c r="D110" s="167"/>
      <c r="E110" s="285"/>
      <c r="F110" s="285"/>
      <c r="G110" s="285"/>
      <c r="H110" s="285"/>
      <c r="I110" s="285"/>
      <c r="J110" s="285"/>
      <c r="K110" s="35"/>
      <c r="L110" s="285"/>
      <c r="M110" s="285"/>
      <c r="N110" s="178"/>
      <c r="O110" s="285"/>
      <c r="P110" s="37" t="s">
        <v>821</v>
      </c>
      <c r="Q110" s="181"/>
      <c r="R110" s="181"/>
      <c r="S110" s="636"/>
    </row>
    <row r="111" ht="15.75" customHeight="1">
      <c r="A111" s="310">
        <v>106.0</v>
      </c>
      <c r="B111" s="351" t="str">
        <f t="shared" si="1"/>
        <v/>
      </c>
      <c r="C111" s="655"/>
      <c r="D111" s="167"/>
      <c r="E111" s="285"/>
      <c r="F111" s="285"/>
      <c r="G111" s="285"/>
      <c r="H111" s="285"/>
      <c r="I111" s="285"/>
      <c r="J111" s="285"/>
      <c r="K111" s="35"/>
      <c r="L111" s="285"/>
      <c r="M111" s="285"/>
      <c r="N111" s="181"/>
      <c r="O111" s="285"/>
      <c r="P111" s="37" t="s">
        <v>821</v>
      </c>
      <c r="Q111" s="181"/>
      <c r="R111" s="181"/>
      <c r="S111" s="636"/>
    </row>
    <row r="112" ht="15.75" customHeight="1">
      <c r="A112" s="310">
        <v>107.0</v>
      </c>
      <c r="B112" s="351" t="str">
        <f t="shared" si="1"/>
        <v/>
      </c>
      <c r="C112" s="288"/>
      <c r="D112" s="653"/>
      <c r="E112" s="285"/>
      <c r="F112" s="285"/>
      <c r="G112" s="285"/>
      <c r="H112" s="285"/>
      <c r="I112" s="285"/>
      <c r="J112" s="285"/>
      <c r="K112" s="35"/>
      <c r="L112" s="285"/>
      <c r="M112" s="285"/>
      <c r="N112" s="183"/>
      <c r="O112" s="285"/>
      <c r="P112" s="37" t="s">
        <v>821</v>
      </c>
      <c r="Q112" s="181"/>
      <c r="R112" s="124"/>
      <c r="S112" s="652"/>
    </row>
    <row r="113" ht="15.75" customHeight="1">
      <c r="A113" s="310">
        <v>108.0</v>
      </c>
      <c r="B113" s="351" t="str">
        <f t="shared" si="1"/>
        <v/>
      </c>
      <c r="C113" s="288"/>
      <c r="D113" s="175"/>
      <c r="E113" s="285"/>
      <c r="F113" s="285"/>
      <c r="G113" s="285"/>
      <c r="H113" s="285"/>
      <c r="I113" s="285"/>
      <c r="J113" s="285"/>
      <c r="K113" s="35"/>
      <c r="L113" s="285"/>
      <c r="M113" s="285"/>
      <c r="N113" s="35"/>
      <c r="O113" s="285"/>
      <c r="P113" s="37" t="s">
        <v>821</v>
      </c>
      <c r="Q113" s="181"/>
      <c r="R113" s="181"/>
      <c r="S113" s="652"/>
    </row>
    <row r="114" ht="15.75" customHeight="1">
      <c r="A114" s="310">
        <v>109.0</v>
      </c>
      <c r="B114" s="351" t="str">
        <f t="shared" si="1"/>
        <v/>
      </c>
      <c r="C114" s="366"/>
      <c r="D114" s="167"/>
      <c r="E114" s="285"/>
      <c r="F114" s="285"/>
      <c r="G114" s="285"/>
      <c r="H114" s="285"/>
      <c r="I114" s="285"/>
      <c r="J114" s="285"/>
      <c r="K114" s="35"/>
      <c r="L114" s="285"/>
      <c r="M114" s="285"/>
      <c r="N114" s="35"/>
      <c r="O114" s="285"/>
      <c r="P114" s="37" t="s">
        <v>821</v>
      </c>
      <c r="Q114" s="181"/>
      <c r="R114" s="181"/>
      <c r="S114" s="636"/>
    </row>
    <row r="115" ht="15.75" customHeight="1">
      <c r="A115" s="310">
        <v>110.0</v>
      </c>
      <c r="B115" s="351" t="str">
        <f t="shared" si="1"/>
        <v/>
      </c>
      <c r="C115" s="366"/>
      <c r="D115" s="167"/>
      <c r="E115" s="285"/>
      <c r="F115" s="285"/>
      <c r="G115" s="285"/>
      <c r="H115" s="285"/>
      <c r="I115" s="285"/>
      <c r="J115" s="285"/>
      <c r="K115" s="35"/>
      <c r="L115" s="285"/>
      <c r="M115" s="285"/>
      <c r="N115" s="35"/>
      <c r="O115" s="285"/>
      <c r="P115" s="37" t="s">
        <v>821</v>
      </c>
      <c r="Q115" s="181"/>
      <c r="R115" s="181"/>
      <c r="S115" s="636"/>
    </row>
    <row r="116" ht="15.75" customHeight="1">
      <c r="A116" s="310">
        <v>111.0</v>
      </c>
      <c r="B116" s="351" t="str">
        <f t="shared" si="1"/>
        <v/>
      </c>
      <c r="C116" s="366"/>
      <c r="D116" s="167"/>
      <c r="E116" s="285"/>
      <c r="F116" s="285"/>
      <c r="G116" s="285"/>
      <c r="H116" s="285"/>
      <c r="I116" s="285"/>
      <c r="J116" s="285"/>
      <c r="K116" s="35"/>
      <c r="L116" s="285"/>
      <c r="M116" s="285"/>
      <c r="N116" s="181"/>
      <c r="O116" s="285"/>
      <c r="P116" s="37" t="s">
        <v>821</v>
      </c>
      <c r="Q116" s="181"/>
      <c r="R116" s="181"/>
      <c r="S116" s="636"/>
    </row>
    <row r="117" ht="15.75" customHeight="1">
      <c r="A117" s="310">
        <v>112.0</v>
      </c>
      <c r="B117" s="351" t="str">
        <f t="shared" si="1"/>
        <v/>
      </c>
      <c r="C117" s="366"/>
      <c r="D117" s="35"/>
      <c r="E117" s="285"/>
      <c r="F117" s="285"/>
      <c r="G117" s="285"/>
      <c r="H117" s="285"/>
      <c r="I117" s="285"/>
      <c r="J117" s="285"/>
      <c r="K117" s="35"/>
      <c r="L117" s="285"/>
      <c r="M117" s="285"/>
      <c r="N117" s="181"/>
      <c r="O117" s="285"/>
      <c r="P117" s="37" t="s">
        <v>821</v>
      </c>
      <c r="Q117" s="181"/>
      <c r="R117" s="181"/>
      <c r="S117" s="652"/>
    </row>
    <row r="118" ht="15.75" customHeight="1">
      <c r="A118" s="310">
        <v>113.0</v>
      </c>
      <c r="B118" s="351" t="str">
        <f t="shared" si="1"/>
        <v/>
      </c>
      <c r="C118" s="655"/>
      <c r="D118" s="181"/>
      <c r="E118" s="285"/>
      <c r="F118" s="285"/>
      <c r="G118" s="285"/>
      <c r="H118" s="285"/>
      <c r="I118" s="285"/>
      <c r="J118" s="285"/>
      <c r="K118" s="35"/>
      <c r="L118" s="285"/>
      <c r="M118" s="285"/>
      <c r="N118" s="186"/>
      <c r="O118" s="285"/>
      <c r="P118" s="37" t="s">
        <v>821</v>
      </c>
      <c r="Q118" s="656"/>
      <c r="R118" s="181"/>
      <c r="S118" s="652"/>
    </row>
    <row r="119" ht="15.75" customHeight="1">
      <c r="A119" s="310">
        <v>114.0</v>
      </c>
      <c r="B119" s="351" t="str">
        <f t="shared" si="1"/>
        <v/>
      </c>
      <c r="C119" s="288"/>
      <c r="D119" s="186"/>
      <c r="E119" s="285"/>
      <c r="F119" s="285"/>
      <c r="G119" s="285"/>
      <c r="H119" s="285"/>
      <c r="I119" s="285"/>
      <c r="J119" s="285"/>
      <c r="K119" s="35"/>
      <c r="L119" s="285"/>
      <c r="M119" s="285"/>
      <c r="N119" s="181"/>
      <c r="O119" s="285"/>
      <c r="P119" s="37" t="s">
        <v>821</v>
      </c>
      <c r="Q119" s="181"/>
      <c r="R119" s="657"/>
      <c r="S119" s="644"/>
    </row>
    <row r="120" ht="15.75" customHeight="1">
      <c r="A120" s="310">
        <v>115.0</v>
      </c>
      <c r="B120" s="351" t="str">
        <f t="shared" si="1"/>
        <v/>
      </c>
      <c r="C120" s="288"/>
      <c r="D120" s="186"/>
      <c r="E120" s="285"/>
      <c r="F120" s="285"/>
      <c r="G120" s="285"/>
      <c r="H120" s="285"/>
      <c r="I120" s="285"/>
      <c r="J120" s="285"/>
      <c r="K120" s="35"/>
      <c r="L120" s="285"/>
      <c r="M120" s="285"/>
      <c r="N120" s="181"/>
      <c r="O120" s="285"/>
      <c r="P120" s="37" t="s">
        <v>821</v>
      </c>
      <c r="Q120" s="181"/>
      <c r="R120" s="181"/>
      <c r="S120" s="636"/>
    </row>
    <row r="121" ht="15.75" customHeight="1">
      <c r="A121" s="310">
        <v>116.0</v>
      </c>
      <c r="B121" s="351" t="str">
        <f t="shared" si="1"/>
        <v/>
      </c>
      <c r="C121" s="288"/>
      <c r="D121" s="181"/>
      <c r="E121" s="285"/>
      <c r="F121" s="285"/>
      <c r="G121" s="285"/>
      <c r="H121" s="285"/>
      <c r="I121" s="285"/>
      <c r="J121" s="285"/>
      <c r="K121" s="35"/>
      <c r="L121" s="285"/>
      <c r="M121" s="285"/>
      <c r="N121" s="181"/>
      <c r="O121" s="285"/>
      <c r="P121" s="37" t="s">
        <v>821</v>
      </c>
      <c r="Q121" s="181"/>
      <c r="R121" s="181"/>
      <c r="S121" s="652"/>
    </row>
    <row r="122" ht="15.75" customHeight="1">
      <c r="A122" s="310">
        <v>117.0</v>
      </c>
      <c r="B122" s="351" t="str">
        <f t="shared" si="1"/>
        <v/>
      </c>
      <c r="C122" s="288"/>
      <c r="D122" s="181"/>
      <c r="E122" s="285"/>
      <c r="F122" s="285"/>
      <c r="G122" s="285"/>
      <c r="H122" s="285"/>
      <c r="I122" s="285"/>
      <c r="J122" s="285"/>
      <c r="K122" s="35"/>
      <c r="L122" s="285"/>
      <c r="M122" s="285"/>
      <c r="N122" s="181"/>
      <c r="O122" s="285"/>
      <c r="P122" s="37" t="s">
        <v>821</v>
      </c>
      <c r="Q122" s="181"/>
      <c r="R122" s="181"/>
      <c r="S122" s="652"/>
    </row>
    <row r="123" ht="15.75" customHeight="1">
      <c r="A123" s="310">
        <v>118.0</v>
      </c>
      <c r="B123" s="351" t="str">
        <f t="shared" si="1"/>
        <v/>
      </c>
      <c r="C123" s="288"/>
      <c r="D123" s="181"/>
      <c r="E123" s="285"/>
      <c r="F123" s="285"/>
      <c r="G123" s="285"/>
      <c r="H123" s="285"/>
      <c r="I123" s="285"/>
      <c r="J123" s="285"/>
      <c r="K123" s="35"/>
      <c r="L123" s="285"/>
      <c r="M123" s="285"/>
      <c r="N123" s="189"/>
      <c r="O123" s="285"/>
      <c r="P123" s="37" t="s">
        <v>821</v>
      </c>
      <c r="Q123" s="181"/>
      <c r="R123" s="181"/>
      <c r="S123" s="652"/>
    </row>
    <row r="124" ht="15.75" customHeight="1">
      <c r="A124" s="310">
        <v>119.0</v>
      </c>
      <c r="B124" s="351" t="str">
        <f t="shared" si="1"/>
        <v/>
      </c>
      <c r="C124" s="320"/>
      <c r="D124" s="177"/>
      <c r="E124" s="285"/>
      <c r="F124" s="285"/>
      <c r="G124" s="285"/>
      <c r="H124" s="285"/>
      <c r="I124" s="285"/>
      <c r="J124" s="285"/>
      <c r="K124" s="35"/>
      <c r="L124" s="285"/>
      <c r="M124" s="285"/>
      <c r="N124" s="181"/>
      <c r="O124" s="285"/>
      <c r="P124" s="37" t="s">
        <v>821</v>
      </c>
      <c r="Q124" s="181"/>
      <c r="R124" s="656"/>
      <c r="S124" s="652"/>
    </row>
    <row r="125" ht="15.75" customHeight="1">
      <c r="A125" s="310">
        <v>120.0</v>
      </c>
      <c r="B125" s="351" t="str">
        <f t="shared" si="1"/>
        <v/>
      </c>
      <c r="C125" s="320"/>
      <c r="D125" s="181"/>
      <c r="E125" s="285"/>
      <c r="F125" s="285"/>
      <c r="G125" s="285"/>
      <c r="H125" s="285"/>
      <c r="I125" s="285"/>
      <c r="J125" s="285"/>
      <c r="K125" s="35"/>
      <c r="L125" s="285"/>
      <c r="M125" s="285"/>
      <c r="N125" s="181"/>
      <c r="O125" s="285"/>
      <c r="P125" s="37" t="s">
        <v>821</v>
      </c>
      <c r="Q125" s="181"/>
      <c r="R125" s="181"/>
      <c r="S125" s="652"/>
    </row>
    <row r="126" ht="15.75" customHeight="1">
      <c r="A126" s="310">
        <v>121.0</v>
      </c>
      <c r="B126" s="351" t="str">
        <f t="shared" si="1"/>
        <v/>
      </c>
      <c r="C126" s="320"/>
      <c r="D126" s="181"/>
      <c r="E126" s="285"/>
      <c r="F126" s="285"/>
      <c r="G126" s="285"/>
      <c r="H126" s="285"/>
      <c r="I126" s="285"/>
      <c r="J126" s="285"/>
      <c r="K126" s="35"/>
      <c r="L126" s="285"/>
      <c r="M126" s="285"/>
      <c r="N126" s="181"/>
      <c r="O126" s="285"/>
      <c r="P126" s="37" t="s">
        <v>821</v>
      </c>
      <c r="Q126" s="181"/>
      <c r="R126" s="181"/>
      <c r="S126" s="652"/>
    </row>
    <row r="127" ht="15.75" customHeight="1">
      <c r="A127" s="310">
        <v>122.0</v>
      </c>
      <c r="B127" s="351" t="str">
        <f t="shared" si="1"/>
        <v/>
      </c>
      <c r="C127" s="320"/>
      <c r="D127" s="181"/>
      <c r="E127" s="285"/>
      <c r="F127" s="285"/>
      <c r="G127" s="285"/>
      <c r="H127" s="285"/>
      <c r="I127" s="285"/>
      <c r="J127" s="285"/>
      <c r="K127" s="35"/>
      <c r="L127" s="285"/>
      <c r="M127" s="285"/>
      <c r="N127" s="181"/>
      <c r="O127" s="285"/>
      <c r="P127" s="37" t="s">
        <v>821</v>
      </c>
      <c r="Q127" s="658"/>
      <c r="R127" s="659"/>
      <c r="S127" s="652"/>
    </row>
    <row r="128" ht="15.75" customHeight="1">
      <c r="A128" s="310">
        <v>123.0</v>
      </c>
      <c r="B128" s="351" t="str">
        <f t="shared" si="1"/>
        <v/>
      </c>
      <c r="C128" s="320"/>
      <c r="D128" s="175"/>
      <c r="E128" s="285"/>
      <c r="F128" s="285"/>
      <c r="G128" s="285"/>
      <c r="H128" s="285"/>
      <c r="I128" s="285"/>
      <c r="J128" s="285"/>
      <c r="K128" s="35"/>
      <c r="L128" s="285"/>
      <c r="M128" s="285"/>
      <c r="N128" s="181"/>
      <c r="O128" s="285"/>
      <c r="P128" s="37" t="s">
        <v>821</v>
      </c>
      <c r="Q128" s="658"/>
      <c r="R128" s="181"/>
      <c r="S128" s="652"/>
    </row>
    <row r="129" ht="15.75" customHeight="1">
      <c r="A129" s="310">
        <v>124.0</v>
      </c>
      <c r="B129" s="351" t="str">
        <f t="shared" si="1"/>
        <v/>
      </c>
      <c r="C129" s="320"/>
      <c r="D129" s="181"/>
      <c r="E129" s="285"/>
      <c r="F129" s="285"/>
      <c r="G129" s="285"/>
      <c r="H129" s="285"/>
      <c r="I129" s="285"/>
      <c r="J129" s="285"/>
      <c r="K129" s="35"/>
      <c r="L129" s="285"/>
      <c r="M129" s="285"/>
      <c r="N129" s="181"/>
      <c r="O129" s="285"/>
      <c r="P129" s="37" t="s">
        <v>821</v>
      </c>
      <c r="Q129" s="191"/>
      <c r="R129" s="175"/>
      <c r="S129" s="652"/>
    </row>
    <row r="130" ht="15.75" customHeight="1">
      <c r="A130" s="310">
        <v>125.0</v>
      </c>
      <c r="B130" s="351" t="str">
        <f t="shared" si="1"/>
        <v/>
      </c>
      <c r="C130" s="320"/>
      <c r="D130" s="181"/>
      <c r="E130" s="285"/>
      <c r="F130" s="285"/>
      <c r="G130" s="285"/>
      <c r="H130" s="285"/>
      <c r="I130" s="285"/>
      <c r="J130" s="285"/>
      <c r="K130" s="35"/>
      <c r="L130" s="285"/>
      <c r="M130" s="285"/>
      <c r="N130" s="181"/>
      <c r="O130" s="285"/>
      <c r="P130" s="37" t="s">
        <v>821</v>
      </c>
      <c r="Q130" s="191"/>
      <c r="R130" s="191"/>
      <c r="S130" s="652"/>
    </row>
    <row r="131" ht="15.75" customHeight="1">
      <c r="A131" s="310">
        <v>126.0</v>
      </c>
      <c r="B131" s="351" t="str">
        <f t="shared" si="1"/>
        <v/>
      </c>
      <c r="C131" s="320"/>
      <c r="D131" s="181"/>
      <c r="E131" s="285"/>
      <c r="F131" s="285"/>
      <c r="G131" s="285"/>
      <c r="H131" s="285"/>
      <c r="I131" s="285"/>
      <c r="J131" s="285"/>
      <c r="K131" s="35"/>
      <c r="L131" s="285"/>
      <c r="M131" s="285"/>
      <c r="N131" s="181"/>
      <c r="O131" s="285"/>
      <c r="P131" s="37" t="s">
        <v>821</v>
      </c>
      <c r="Q131" s="181"/>
      <c r="R131" s="181"/>
      <c r="S131" s="652"/>
    </row>
    <row r="132" ht="15.75" customHeight="1">
      <c r="A132" s="310">
        <v>127.0</v>
      </c>
      <c r="B132" s="351" t="str">
        <f t="shared" si="1"/>
        <v/>
      </c>
      <c r="C132" s="320"/>
      <c r="D132" s="181"/>
      <c r="E132" s="285"/>
      <c r="F132" s="285"/>
      <c r="G132" s="285"/>
      <c r="H132" s="285"/>
      <c r="I132" s="285"/>
      <c r="J132" s="285"/>
      <c r="K132" s="35"/>
      <c r="L132" s="285"/>
      <c r="M132" s="285"/>
      <c r="N132" s="181"/>
      <c r="O132" s="285"/>
      <c r="P132" s="37" t="s">
        <v>821</v>
      </c>
      <c r="Q132" s="181"/>
      <c r="R132" s="181"/>
      <c r="S132" s="652"/>
    </row>
    <row r="133" ht="15.75" customHeight="1">
      <c r="A133" s="310">
        <v>128.0</v>
      </c>
      <c r="B133" s="351" t="str">
        <f t="shared" si="1"/>
        <v/>
      </c>
      <c r="C133" s="320"/>
      <c r="D133" s="181"/>
      <c r="E133" s="285"/>
      <c r="F133" s="285"/>
      <c r="G133" s="285"/>
      <c r="H133" s="285"/>
      <c r="I133" s="285"/>
      <c r="J133" s="285"/>
      <c r="K133" s="35"/>
      <c r="L133" s="285"/>
      <c r="M133" s="285"/>
      <c r="N133" s="181"/>
      <c r="O133" s="285"/>
      <c r="P133" s="37" t="s">
        <v>821</v>
      </c>
      <c r="Q133" s="181"/>
      <c r="R133" s="181"/>
      <c r="S133" s="652"/>
    </row>
    <row r="134" ht="15.75" customHeight="1">
      <c r="A134" s="310">
        <v>129.0</v>
      </c>
      <c r="B134" s="351" t="str">
        <f t="shared" si="1"/>
        <v/>
      </c>
      <c r="C134" s="320"/>
      <c r="D134" s="181"/>
      <c r="E134" s="285"/>
      <c r="F134" s="285"/>
      <c r="G134" s="285"/>
      <c r="H134" s="285"/>
      <c r="I134" s="285"/>
      <c r="J134" s="285"/>
      <c r="K134" s="35"/>
      <c r="L134" s="285"/>
      <c r="M134" s="285"/>
      <c r="N134" s="181"/>
      <c r="O134" s="285"/>
      <c r="P134" s="37" t="s">
        <v>821</v>
      </c>
      <c r="Q134" s="181"/>
      <c r="R134" s="181"/>
      <c r="S134" s="652"/>
    </row>
    <row r="135" ht="15.75" customHeight="1">
      <c r="A135" s="310">
        <v>130.0</v>
      </c>
      <c r="B135" s="351" t="str">
        <f t="shared" si="1"/>
        <v/>
      </c>
      <c r="C135" s="320"/>
      <c r="D135" s="181"/>
      <c r="E135" s="285"/>
      <c r="F135" s="285"/>
      <c r="G135" s="285"/>
      <c r="H135" s="285"/>
      <c r="I135" s="285"/>
      <c r="J135" s="285"/>
      <c r="K135" s="35"/>
      <c r="L135" s="285"/>
      <c r="M135" s="285"/>
      <c r="N135" s="181"/>
      <c r="O135" s="285"/>
      <c r="P135" s="37" t="s">
        <v>821</v>
      </c>
      <c r="Q135" s="181"/>
      <c r="R135" s="181"/>
      <c r="S135" s="652"/>
    </row>
    <row r="136" ht="15.75" customHeight="1">
      <c r="A136" s="310">
        <v>131.0</v>
      </c>
      <c r="B136" s="351" t="str">
        <f t="shared" si="1"/>
        <v/>
      </c>
      <c r="C136" s="320"/>
      <c r="D136" s="181"/>
      <c r="E136" s="285"/>
      <c r="F136" s="285"/>
      <c r="G136" s="285"/>
      <c r="H136" s="285"/>
      <c r="I136" s="285"/>
      <c r="J136" s="285"/>
      <c r="K136" s="35"/>
      <c r="L136" s="285"/>
      <c r="M136" s="285"/>
      <c r="N136" s="181"/>
      <c r="O136" s="285"/>
      <c r="P136" s="37" t="s">
        <v>821</v>
      </c>
      <c r="Q136" s="181"/>
      <c r="R136" s="181"/>
      <c r="S136" s="652"/>
    </row>
    <row r="137" ht="15.75" customHeight="1">
      <c r="A137" s="310">
        <v>132.0</v>
      </c>
      <c r="B137" s="351" t="str">
        <f t="shared" si="1"/>
        <v/>
      </c>
      <c r="C137" s="320"/>
      <c r="D137" s="181"/>
      <c r="E137" s="285"/>
      <c r="F137" s="285"/>
      <c r="G137" s="285"/>
      <c r="H137" s="285"/>
      <c r="I137" s="285"/>
      <c r="J137" s="285"/>
      <c r="K137" s="35"/>
      <c r="L137" s="285"/>
      <c r="M137" s="285"/>
      <c r="N137" s="181"/>
      <c r="O137" s="285"/>
      <c r="P137" s="37" t="s">
        <v>821</v>
      </c>
      <c r="Q137" s="181"/>
      <c r="R137" s="181"/>
      <c r="S137" s="652"/>
    </row>
    <row r="138" ht="15.75" customHeight="1">
      <c r="A138" s="310">
        <v>133.0</v>
      </c>
      <c r="B138" s="351" t="str">
        <f t="shared" si="1"/>
        <v/>
      </c>
      <c r="C138" s="320"/>
      <c r="D138" s="181"/>
      <c r="E138" s="285"/>
      <c r="F138" s="285"/>
      <c r="G138" s="285"/>
      <c r="H138" s="285"/>
      <c r="I138" s="285"/>
      <c r="J138" s="285"/>
      <c r="K138" s="35"/>
      <c r="L138" s="285"/>
      <c r="M138" s="285"/>
      <c r="N138" s="181"/>
      <c r="O138" s="285"/>
      <c r="P138" s="37" t="s">
        <v>821</v>
      </c>
      <c r="Q138" s="181"/>
      <c r="R138" s="181"/>
      <c r="S138" s="652"/>
    </row>
    <row r="139" ht="15.75" customHeight="1">
      <c r="A139" s="310">
        <v>134.0</v>
      </c>
      <c r="B139" s="351" t="str">
        <f t="shared" si="1"/>
        <v/>
      </c>
      <c r="C139" s="320"/>
      <c r="D139" s="181"/>
      <c r="E139" s="285"/>
      <c r="F139" s="285"/>
      <c r="G139" s="285"/>
      <c r="H139" s="285"/>
      <c r="I139" s="285"/>
      <c r="J139" s="285"/>
      <c r="K139" s="35"/>
      <c r="L139" s="285"/>
      <c r="M139" s="285"/>
      <c r="N139" s="181"/>
      <c r="O139" s="285"/>
      <c r="P139" s="37" t="s">
        <v>821</v>
      </c>
      <c r="Q139" s="181"/>
      <c r="R139" s="181"/>
      <c r="S139" s="652"/>
    </row>
    <row r="140" ht="15.75" customHeight="1">
      <c r="A140" s="310">
        <v>135.0</v>
      </c>
      <c r="B140" s="351" t="str">
        <f t="shared" si="1"/>
        <v/>
      </c>
      <c r="C140" s="320"/>
      <c r="D140" s="181"/>
      <c r="E140" s="285"/>
      <c r="F140" s="285"/>
      <c r="G140" s="285"/>
      <c r="H140" s="285"/>
      <c r="I140" s="285"/>
      <c r="J140" s="285"/>
      <c r="K140" s="35"/>
      <c r="L140" s="285"/>
      <c r="M140" s="285"/>
      <c r="N140" s="181"/>
      <c r="O140" s="285"/>
      <c r="P140" s="37" t="s">
        <v>821</v>
      </c>
      <c r="Q140" s="181"/>
      <c r="R140" s="181"/>
      <c r="S140" s="652"/>
    </row>
    <row r="141" ht="15.75" customHeight="1">
      <c r="A141" s="310">
        <v>136.0</v>
      </c>
      <c r="B141" s="351" t="str">
        <f t="shared" si="1"/>
        <v/>
      </c>
      <c r="C141" s="320"/>
      <c r="D141" s="181"/>
      <c r="E141" s="285"/>
      <c r="F141" s="285"/>
      <c r="G141" s="285"/>
      <c r="H141" s="285"/>
      <c r="I141" s="285"/>
      <c r="J141" s="285"/>
      <c r="K141" s="35"/>
      <c r="L141" s="285"/>
      <c r="M141" s="285"/>
      <c r="N141" s="181"/>
      <c r="O141" s="285"/>
      <c r="P141" s="37" t="s">
        <v>821</v>
      </c>
      <c r="Q141" s="181"/>
      <c r="R141" s="181"/>
      <c r="S141" s="652"/>
    </row>
    <row r="142" ht="15.75" customHeight="1">
      <c r="A142" s="310">
        <v>137.0</v>
      </c>
      <c r="B142" s="351" t="str">
        <f t="shared" si="1"/>
        <v/>
      </c>
      <c r="C142" s="320"/>
      <c r="D142" s="181"/>
      <c r="E142" s="285"/>
      <c r="F142" s="285"/>
      <c r="G142" s="285"/>
      <c r="H142" s="285"/>
      <c r="I142" s="285"/>
      <c r="J142" s="285"/>
      <c r="K142" s="35"/>
      <c r="L142" s="285"/>
      <c r="M142" s="285"/>
      <c r="N142" s="181"/>
      <c r="O142" s="285"/>
      <c r="P142" s="37" t="s">
        <v>821</v>
      </c>
      <c r="Q142" s="181"/>
      <c r="R142" s="181"/>
      <c r="S142" s="652"/>
    </row>
    <row r="143" ht="15.75" customHeight="1">
      <c r="A143" s="310">
        <v>138.0</v>
      </c>
      <c r="B143" s="351" t="str">
        <f t="shared" si="1"/>
        <v/>
      </c>
      <c r="C143" s="320"/>
      <c r="D143" s="181"/>
      <c r="E143" s="285"/>
      <c r="F143" s="285"/>
      <c r="G143" s="285"/>
      <c r="H143" s="285"/>
      <c r="I143" s="285"/>
      <c r="J143" s="285"/>
      <c r="K143" s="35"/>
      <c r="L143" s="285"/>
      <c r="M143" s="285"/>
      <c r="N143" s="181"/>
      <c r="O143" s="285"/>
      <c r="P143" s="37" t="s">
        <v>821</v>
      </c>
      <c r="Q143" s="181"/>
      <c r="R143" s="181"/>
      <c r="S143" s="652"/>
    </row>
    <row r="144" ht="15.75" customHeight="1">
      <c r="A144" s="310">
        <v>139.0</v>
      </c>
      <c r="B144" s="351" t="str">
        <f t="shared" si="1"/>
        <v/>
      </c>
      <c r="C144" s="320"/>
      <c r="D144" s="181"/>
      <c r="E144" s="285"/>
      <c r="F144" s="285"/>
      <c r="G144" s="285"/>
      <c r="H144" s="285"/>
      <c r="I144" s="285"/>
      <c r="J144" s="285"/>
      <c r="K144" s="35"/>
      <c r="L144" s="285"/>
      <c r="M144" s="285"/>
      <c r="N144" s="181"/>
      <c r="O144" s="285"/>
      <c r="P144" s="37" t="s">
        <v>821</v>
      </c>
      <c r="Q144" s="181"/>
      <c r="R144" s="181"/>
      <c r="S144" s="652"/>
    </row>
    <row r="145" ht="15.75" customHeight="1">
      <c r="A145" s="310">
        <v>140.0</v>
      </c>
      <c r="B145" s="351" t="str">
        <f t="shared" si="1"/>
        <v/>
      </c>
      <c r="C145" s="320"/>
      <c r="D145" s="181"/>
      <c r="E145" s="285"/>
      <c r="F145" s="285"/>
      <c r="G145" s="285"/>
      <c r="H145" s="285"/>
      <c r="I145" s="285"/>
      <c r="J145" s="285"/>
      <c r="K145" s="35"/>
      <c r="L145" s="285"/>
      <c r="M145" s="285"/>
      <c r="N145" s="181"/>
      <c r="O145" s="285"/>
      <c r="P145" s="37" t="s">
        <v>821</v>
      </c>
      <c r="Q145" s="181"/>
      <c r="R145" s="181"/>
      <c r="S145" s="652"/>
    </row>
    <row r="146" ht="15.75" customHeight="1">
      <c r="A146" s="310">
        <v>141.0</v>
      </c>
      <c r="B146" s="351" t="str">
        <f t="shared" si="1"/>
        <v/>
      </c>
      <c r="C146" s="320"/>
      <c r="D146" s="181"/>
      <c r="E146" s="285"/>
      <c r="F146" s="285"/>
      <c r="G146" s="285"/>
      <c r="H146" s="285"/>
      <c r="I146" s="285"/>
      <c r="J146" s="285"/>
      <c r="K146" s="35"/>
      <c r="L146" s="285"/>
      <c r="M146" s="285"/>
      <c r="N146" s="181"/>
      <c r="O146" s="285"/>
      <c r="P146" s="37" t="s">
        <v>821</v>
      </c>
      <c r="Q146" s="181"/>
      <c r="R146" s="181"/>
      <c r="S146" s="652"/>
    </row>
    <row r="147" ht="15.75" customHeight="1">
      <c r="A147" s="310">
        <v>142.0</v>
      </c>
      <c r="B147" s="351" t="str">
        <f t="shared" si="1"/>
        <v/>
      </c>
      <c r="C147" s="320"/>
      <c r="D147" s="181"/>
      <c r="E147" s="285"/>
      <c r="F147" s="285"/>
      <c r="G147" s="285"/>
      <c r="H147" s="285"/>
      <c r="I147" s="285"/>
      <c r="J147" s="285"/>
      <c r="K147" s="35"/>
      <c r="L147" s="285"/>
      <c r="M147" s="285"/>
      <c r="N147" s="181"/>
      <c r="O147" s="285"/>
      <c r="P147" s="37" t="s">
        <v>821</v>
      </c>
      <c r="Q147" s="181"/>
      <c r="R147" s="181"/>
      <c r="S147" s="652"/>
    </row>
    <row r="148" ht="15.75" customHeight="1">
      <c r="A148" s="310">
        <v>143.0</v>
      </c>
      <c r="B148" s="351" t="str">
        <f t="shared" si="1"/>
        <v/>
      </c>
      <c r="C148" s="320"/>
      <c r="D148" s="181"/>
      <c r="E148" s="285"/>
      <c r="F148" s="285"/>
      <c r="G148" s="285"/>
      <c r="H148" s="285"/>
      <c r="I148" s="285"/>
      <c r="J148" s="285"/>
      <c r="K148" s="35"/>
      <c r="L148" s="285"/>
      <c r="M148" s="285"/>
      <c r="N148" s="181"/>
      <c r="O148" s="285"/>
      <c r="P148" s="37" t="s">
        <v>821</v>
      </c>
      <c r="Q148" s="181"/>
      <c r="R148" s="181"/>
      <c r="S148" s="652"/>
    </row>
    <row r="149" ht="15.75" customHeight="1">
      <c r="A149" s="310">
        <v>144.0</v>
      </c>
      <c r="B149" s="351" t="str">
        <f t="shared" si="1"/>
        <v/>
      </c>
      <c r="C149" s="320"/>
      <c r="D149" s="181"/>
      <c r="E149" s="285"/>
      <c r="F149" s="285"/>
      <c r="G149" s="285"/>
      <c r="H149" s="285"/>
      <c r="I149" s="285"/>
      <c r="J149" s="285"/>
      <c r="K149" s="35"/>
      <c r="L149" s="285"/>
      <c r="M149" s="285"/>
      <c r="N149" s="181"/>
      <c r="O149" s="285"/>
      <c r="P149" s="37" t="s">
        <v>821</v>
      </c>
      <c r="Q149" s="181"/>
      <c r="R149" s="181"/>
      <c r="S149" s="652"/>
    </row>
    <row r="150" ht="15.75" customHeight="1">
      <c r="A150" s="310">
        <v>145.0</v>
      </c>
      <c r="B150" s="351" t="str">
        <f t="shared" si="1"/>
        <v/>
      </c>
      <c r="C150" s="320"/>
      <c r="D150" s="181"/>
      <c r="E150" s="285"/>
      <c r="F150" s="285"/>
      <c r="G150" s="285"/>
      <c r="H150" s="285"/>
      <c r="I150" s="285"/>
      <c r="J150" s="285"/>
      <c r="K150" s="35"/>
      <c r="L150" s="285"/>
      <c r="M150" s="285"/>
      <c r="N150" s="181"/>
      <c r="O150" s="285"/>
      <c r="P150" s="37" t="s">
        <v>821</v>
      </c>
      <c r="Q150" s="181"/>
      <c r="R150" s="181"/>
      <c r="S150" s="652"/>
    </row>
    <row r="151" ht="15.75" customHeight="1">
      <c r="A151" s="310">
        <v>146.0</v>
      </c>
      <c r="B151" s="351" t="str">
        <f t="shared" si="1"/>
        <v/>
      </c>
      <c r="C151" s="320"/>
      <c r="D151" s="181"/>
      <c r="E151" s="285"/>
      <c r="F151" s="285"/>
      <c r="G151" s="285"/>
      <c r="H151" s="285"/>
      <c r="I151" s="285"/>
      <c r="J151" s="285"/>
      <c r="K151" s="35"/>
      <c r="L151" s="285"/>
      <c r="M151" s="285"/>
      <c r="N151" s="181"/>
      <c r="O151" s="285"/>
      <c r="P151" s="37" t="s">
        <v>821</v>
      </c>
      <c r="Q151" s="181"/>
      <c r="R151" s="181"/>
      <c r="S151" s="652"/>
    </row>
    <row r="152" ht="15.75" customHeight="1">
      <c r="A152" s="310">
        <v>147.0</v>
      </c>
      <c r="B152" s="351" t="str">
        <f t="shared" si="1"/>
        <v/>
      </c>
      <c r="C152" s="320"/>
      <c r="D152" s="181"/>
      <c r="E152" s="285"/>
      <c r="F152" s="285"/>
      <c r="G152" s="285"/>
      <c r="H152" s="285"/>
      <c r="I152" s="285"/>
      <c r="J152" s="285"/>
      <c r="K152" s="35"/>
      <c r="L152" s="285"/>
      <c r="M152" s="285"/>
      <c r="N152" s="181"/>
      <c r="O152" s="285"/>
      <c r="P152" s="37" t="s">
        <v>821</v>
      </c>
      <c r="Q152" s="181"/>
      <c r="R152" s="181"/>
      <c r="S152" s="652"/>
    </row>
    <row r="153" ht="15.75" customHeight="1">
      <c r="A153" s="310">
        <v>148.0</v>
      </c>
      <c r="B153" s="351" t="str">
        <f t="shared" si="1"/>
        <v/>
      </c>
      <c r="C153" s="320"/>
      <c r="D153" s="181"/>
      <c r="E153" s="285"/>
      <c r="F153" s="285"/>
      <c r="G153" s="285"/>
      <c r="H153" s="285"/>
      <c r="I153" s="285"/>
      <c r="J153" s="285"/>
      <c r="K153" s="35"/>
      <c r="L153" s="285"/>
      <c r="M153" s="285"/>
      <c r="N153" s="181"/>
      <c r="O153" s="285"/>
      <c r="P153" s="37" t="s">
        <v>821</v>
      </c>
      <c r="Q153" s="181"/>
      <c r="R153" s="181"/>
      <c r="S153" s="652"/>
    </row>
    <row r="154" ht="15.75" customHeight="1">
      <c r="A154" s="310">
        <v>149.0</v>
      </c>
      <c r="B154" s="351" t="str">
        <f t="shared" si="1"/>
        <v/>
      </c>
      <c r="C154" s="320"/>
      <c r="D154" s="181"/>
      <c r="E154" s="285"/>
      <c r="F154" s="285"/>
      <c r="G154" s="285"/>
      <c r="H154" s="285"/>
      <c r="I154" s="285"/>
      <c r="J154" s="285"/>
      <c r="K154" s="35"/>
      <c r="L154" s="285"/>
      <c r="M154" s="285"/>
      <c r="N154" s="181"/>
      <c r="O154" s="285"/>
      <c r="P154" s="37" t="s">
        <v>821</v>
      </c>
      <c r="Q154" s="181"/>
      <c r="R154" s="181"/>
      <c r="S154" s="652"/>
    </row>
    <row r="155" ht="15.75" customHeight="1">
      <c r="A155" s="310">
        <v>150.0</v>
      </c>
      <c r="B155" s="351" t="str">
        <f t="shared" si="1"/>
        <v/>
      </c>
      <c r="C155" s="320"/>
      <c r="D155" s="181"/>
      <c r="E155" s="285"/>
      <c r="F155" s="285"/>
      <c r="G155" s="285"/>
      <c r="H155" s="285"/>
      <c r="I155" s="285"/>
      <c r="J155" s="285"/>
      <c r="K155" s="35"/>
      <c r="L155" s="285"/>
      <c r="M155" s="285"/>
      <c r="N155" s="181"/>
      <c r="O155" s="285"/>
      <c r="P155" s="37" t="s">
        <v>821</v>
      </c>
      <c r="Q155" s="181"/>
      <c r="R155" s="181"/>
      <c r="S155" s="652"/>
    </row>
    <row r="156" ht="15.75" customHeight="1">
      <c r="A156" s="310">
        <v>151.0</v>
      </c>
      <c r="B156" s="351" t="str">
        <f t="shared" si="1"/>
        <v/>
      </c>
      <c r="C156" s="320"/>
      <c r="D156" s="181"/>
      <c r="E156" s="285"/>
      <c r="F156" s="285"/>
      <c r="G156" s="285"/>
      <c r="H156" s="285"/>
      <c r="I156" s="285"/>
      <c r="J156" s="285"/>
      <c r="K156" s="35"/>
      <c r="L156" s="285"/>
      <c r="M156" s="285"/>
      <c r="N156" s="181"/>
      <c r="O156" s="285"/>
      <c r="P156" s="37" t="s">
        <v>821</v>
      </c>
      <c r="Q156" s="181"/>
      <c r="R156" s="181"/>
      <c r="S156" s="652"/>
    </row>
    <row r="157" ht="15.75" customHeight="1">
      <c r="A157" s="310">
        <v>152.0</v>
      </c>
      <c r="B157" s="351" t="str">
        <f t="shared" si="1"/>
        <v/>
      </c>
      <c r="C157" s="320"/>
      <c r="D157" s="181"/>
      <c r="E157" s="285"/>
      <c r="F157" s="285"/>
      <c r="G157" s="285"/>
      <c r="H157" s="285"/>
      <c r="I157" s="285"/>
      <c r="J157" s="285"/>
      <c r="K157" s="35"/>
      <c r="L157" s="285"/>
      <c r="M157" s="285"/>
      <c r="N157" s="181"/>
      <c r="O157" s="285"/>
      <c r="P157" s="37" t="s">
        <v>821</v>
      </c>
      <c r="Q157" s="181"/>
      <c r="R157" s="181"/>
      <c r="S157" s="652"/>
    </row>
    <row r="158" ht="15.75" customHeight="1">
      <c r="A158" s="310">
        <v>153.0</v>
      </c>
      <c r="B158" s="351" t="str">
        <f t="shared" si="1"/>
        <v/>
      </c>
      <c r="C158" s="320"/>
      <c r="D158" s="181"/>
      <c r="E158" s="285"/>
      <c r="F158" s="285"/>
      <c r="G158" s="285"/>
      <c r="H158" s="285"/>
      <c r="I158" s="285"/>
      <c r="J158" s="285"/>
      <c r="K158" s="35"/>
      <c r="L158" s="285"/>
      <c r="M158" s="285"/>
      <c r="N158" s="181"/>
      <c r="O158" s="285"/>
      <c r="P158" s="37" t="s">
        <v>821</v>
      </c>
      <c r="Q158" s="181"/>
      <c r="R158" s="181"/>
      <c r="S158" s="652"/>
    </row>
    <row r="159" ht="15.75" customHeight="1">
      <c r="A159" s="310">
        <v>154.0</v>
      </c>
      <c r="B159" s="351" t="str">
        <f t="shared" si="1"/>
        <v/>
      </c>
      <c r="C159" s="320"/>
      <c r="D159" s="181"/>
      <c r="E159" s="285"/>
      <c r="F159" s="285"/>
      <c r="G159" s="285"/>
      <c r="H159" s="285"/>
      <c r="I159" s="285"/>
      <c r="J159" s="285"/>
      <c r="K159" s="35"/>
      <c r="L159" s="285"/>
      <c r="M159" s="285"/>
      <c r="N159" s="181"/>
      <c r="O159" s="285"/>
      <c r="P159" s="37" t="s">
        <v>821</v>
      </c>
      <c r="Q159" s="181"/>
      <c r="R159" s="181"/>
      <c r="S159" s="652"/>
    </row>
    <row r="160" ht="15.75" customHeight="1">
      <c r="A160" s="310">
        <v>155.0</v>
      </c>
      <c r="B160" s="351" t="str">
        <f t="shared" si="1"/>
        <v/>
      </c>
      <c r="C160" s="320"/>
      <c r="D160" s="181"/>
      <c r="E160" s="285"/>
      <c r="F160" s="285"/>
      <c r="G160" s="285"/>
      <c r="H160" s="285"/>
      <c r="I160" s="285"/>
      <c r="J160" s="285"/>
      <c r="K160" s="35"/>
      <c r="L160" s="285"/>
      <c r="M160" s="285"/>
      <c r="N160" s="181"/>
      <c r="O160" s="285"/>
      <c r="P160" s="37" t="s">
        <v>821</v>
      </c>
      <c r="Q160" s="181"/>
      <c r="R160" s="181"/>
      <c r="S160" s="652"/>
    </row>
    <row r="161" ht="15.75" customHeight="1">
      <c r="A161" s="310">
        <v>156.0</v>
      </c>
      <c r="B161" s="351" t="str">
        <f t="shared" si="1"/>
        <v/>
      </c>
      <c r="C161" s="320"/>
      <c r="D161" s="181"/>
      <c r="E161" s="285"/>
      <c r="F161" s="285"/>
      <c r="G161" s="285"/>
      <c r="H161" s="285"/>
      <c r="I161" s="285"/>
      <c r="J161" s="285"/>
      <c r="K161" s="35"/>
      <c r="L161" s="285"/>
      <c r="M161" s="285"/>
      <c r="N161" s="181"/>
      <c r="O161" s="285"/>
      <c r="P161" s="37" t="s">
        <v>821</v>
      </c>
      <c r="Q161" s="181"/>
      <c r="R161" s="181"/>
      <c r="S161" s="652"/>
    </row>
    <row r="162" ht="15.75" customHeight="1">
      <c r="A162" s="310">
        <v>157.0</v>
      </c>
      <c r="B162" s="351" t="str">
        <f t="shared" si="1"/>
        <v/>
      </c>
      <c r="C162" s="320"/>
      <c r="D162" s="181"/>
      <c r="E162" s="285"/>
      <c r="F162" s="285"/>
      <c r="G162" s="285"/>
      <c r="H162" s="285"/>
      <c r="I162" s="285"/>
      <c r="J162" s="285"/>
      <c r="K162" s="35"/>
      <c r="L162" s="285"/>
      <c r="M162" s="285"/>
      <c r="N162" s="181"/>
      <c r="O162" s="285"/>
      <c r="P162" s="37" t="s">
        <v>821</v>
      </c>
      <c r="Q162" s="181"/>
      <c r="R162" s="181"/>
      <c r="S162" s="652"/>
    </row>
    <row r="163" ht="15.75" customHeight="1">
      <c r="A163" s="310">
        <v>158.0</v>
      </c>
      <c r="B163" s="351" t="str">
        <f t="shared" si="1"/>
        <v/>
      </c>
      <c r="C163" s="320"/>
      <c r="D163" s="181"/>
      <c r="E163" s="285"/>
      <c r="F163" s="285"/>
      <c r="G163" s="285"/>
      <c r="H163" s="285"/>
      <c r="I163" s="285"/>
      <c r="J163" s="285"/>
      <c r="K163" s="35"/>
      <c r="L163" s="285"/>
      <c r="M163" s="285"/>
      <c r="N163" s="181"/>
      <c r="O163" s="285"/>
      <c r="P163" s="37" t="s">
        <v>821</v>
      </c>
      <c r="Q163" s="181"/>
      <c r="R163" s="181"/>
      <c r="S163" s="652"/>
    </row>
    <row r="164" ht="15.75" customHeight="1">
      <c r="A164" s="310">
        <v>159.0</v>
      </c>
      <c r="B164" s="351" t="str">
        <f t="shared" si="1"/>
        <v/>
      </c>
      <c r="C164" s="320"/>
      <c r="D164" s="181"/>
      <c r="E164" s="285"/>
      <c r="F164" s="285"/>
      <c r="G164" s="285"/>
      <c r="H164" s="285"/>
      <c r="I164" s="285"/>
      <c r="J164" s="285"/>
      <c r="K164" s="35"/>
      <c r="L164" s="285"/>
      <c r="M164" s="285"/>
      <c r="N164" s="181"/>
      <c r="O164" s="285"/>
      <c r="P164" s="37" t="s">
        <v>821</v>
      </c>
      <c r="Q164" s="181"/>
      <c r="R164" s="181"/>
      <c r="S164" s="652"/>
    </row>
    <row r="165" ht="15.75" customHeight="1">
      <c r="A165" s="310">
        <v>160.0</v>
      </c>
      <c r="B165" s="351" t="str">
        <f t="shared" si="1"/>
        <v/>
      </c>
      <c r="C165" s="320"/>
      <c r="D165" s="181"/>
      <c r="E165" s="285"/>
      <c r="F165" s="285"/>
      <c r="G165" s="285"/>
      <c r="H165" s="285"/>
      <c r="I165" s="285"/>
      <c r="J165" s="285"/>
      <c r="K165" s="35"/>
      <c r="L165" s="285"/>
      <c r="M165" s="285"/>
      <c r="N165" s="181"/>
      <c r="O165" s="285"/>
      <c r="P165" s="37" t="s">
        <v>821</v>
      </c>
      <c r="Q165" s="181"/>
      <c r="R165" s="181"/>
      <c r="S165" s="652"/>
    </row>
    <row r="166" ht="15.75" customHeight="1">
      <c r="A166" s="310">
        <v>161.0</v>
      </c>
      <c r="B166" s="351" t="str">
        <f t="shared" si="1"/>
        <v/>
      </c>
      <c r="C166" s="320"/>
      <c r="D166" s="181"/>
      <c r="E166" s="285"/>
      <c r="F166" s="285"/>
      <c r="G166" s="285"/>
      <c r="H166" s="285"/>
      <c r="I166" s="285"/>
      <c r="J166" s="285"/>
      <c r="K166" s="35"/>
      <c r="L166" s="285"/>
      <c r="M166" s="285"/>
      <c r="N166" s="181"/>
      <c r="O166" s="285"/>
      <c r="P166" s="37" t="s">
        <v>821</v>
      </c>
      <c r="Q166" s="181"/>
      <c r="R166" s="181"/>
      <c r="S166" s="652"/>
    </row>
    <row r="167" ht="15.75" customHeight="1">
      <c r="A167" s="310">
        <v>162.0</v>
      </c>
      <c r="B167" s="351" t="str">
        <f t="shared" si="1"/>
        <v/>
      </c>
      <c r="C167" s="320"/>
      <c r="D167" s="181"/>
      <c r="E167" s="285"/>
      <c r="F167" s="285"/>
      <c r="G167" s="285"/>
      <c r="H167" s="285"/>
      <c r="I167" s="285"/>
      <c r="J167" s="285"/>
      <c r="K167" s="35"/>
      <c r="L167" s="285"/>
      <c r="M167" s="285"/>
      <c r="N167" s="181"/>
      <c r="O167" s="285"/>
      <c r="P167" s="37" t="s">
        <v>821</v>
      </c>
      <c r="Q167" s="181"/>
      <c r="R167" s="181"/>
      <c r="S167" s="652"/>
    </row>
    <row r="168" ht="15.75" customHeight="1">
      <c r="A168" s="310">
        <v>163.0</v>
      </c>
      <c r="B168" s="351" t="str">
        <f t="shared" si="1"/>
        <v/>
      </c>
      <c r="C168" s="320"/>
      <c r="D168" s="181"/>
      <c r="E168" s="285"/>
      <c r="F168" s="285"/>
      <c r="G168" s="285"/>
      <c r="H168" s="285"/>
      <c r="I168" s="285"/>
      <c r="J168" s="285"/>
      <c r="K168" s="35"/>
      <c r="L168" s="285"/>
      <c r="M168" s="285"/>
      <c r="N168" s="181"/>
      <c r="O168" s="285"/>
      <c r="P168" s="37" t="s">
        <v>821</v>
      </c>
      <c r="Q168" s="181"/>
      <c r="R168" s="181"/>
      <c r="S168" s="652"/>
    </row>
    <row r="169" ht="15.75" customHeight="1">
      <c r="A169" s="310">
        <v>164.0</v>
      </c>
      <c r="B169" s="351" t="str">
        <f t="shared" si="1"/>
        <v/>
      </c>
      <c r="C169" s="320"/>
      <c r="D169" s="181"/>
      <c r="E169" s="285"/>
      <c r="F169" s="285"/>
      <c r="G169" s="285"/>
      <c r="H169" s="285"/>
      <c r="I169" s="285"/>
      <c r="J169" s="285"/>
      <c r="K169" s="35"/>
      <c r="L169" s="285"/>
      <c r="M169" s="285"/>
      <c r="N169" s="181"/>
      <c r="O169" s="285"/>
      <c r="P169" s="37" t="s">
        <v>821</v>
      </c>
      <c r="Q169" s="181"/>
      <c r="R169" s="181"/>
      <c r="S169" s="652"/>
    </row>
    <row r="170" ht="15.75" customHeight="1">
      <c r="A170" s="310">
        <v>165.0</v>
      </c>
      <c r="B170" s="351" t="str">
        <f t="shared" si="1"/>
        <v/>
      </c>
      <c r="C170" s="320"/>
      <c r="D170" s="181"/>
      <c r="E170" s="285"/>
      <c r="F170" s="285"/>
      <c r="G170" s="285"/>
      <c r="H170" s="285"/>
      <c r="I170" s="285"/>
      <c r="J170" s="285"/>
      <c r="K170" s="35"/>
      <c r="L170" s="285"/>
      <c r="M170" s="285"/>
      <c r="N170" s="181"/>
      <c r="O170" s="285"/>
      <c r="P170" s="37" t="s">
        <v>821</v>
      </c>
      <c r="Q170" s="181"/>
      <c r="R170" s="181"/>
      <c r="S170" s="652"/>
    </row>
    <row r="171" ht="15.75" customHeight="1">
      <c r="A171" s="310">
        <v>166.0</v>
      </c>
      <c r="B171" s="351" t="str">
        <f t="shared" si="1"/>
        <v/>
      </c>
      <c r="C171" s="320"/>
      <c r="D171" s="181"/>
      <c r="E171" s="285"/>
      <c r="F171" s="285"/>
      <c r="G171" s="285"/>
      <c r="H171" s="285"/>
      <c r="I171" s="285"/>
      <c r="J171" s="285"/>
      <c r="K171" s="35"/>
      <c r="L171" s="285"/>
      <c r="M171" s="285"/>
      <c r="N171" s="181"/>
      <c r="O171" s="285"/>
      <c r="P171" s="37" t="s">
        <v>821</v>
      </c>
      <c r="Q171" s="181"/>
      <c r="R171" s="181"/>
      <c r="S171" s="652"/>
    </row>
    <row r="172" ht="15.75" customHeight="1">
      <c r="A172" s="310">
        <v>167.0</v>
      </c>
      <c r="B172" s="351" t="str">
        <f t="shared" si="1"/>
        <v/>
      </c>
      <c r="C172" s="320"/>
      <c r="D172" s="181"/>
      <c r="E172" s="285"/>
      <c r="F172" s="285"/>
      <c r="G172" s="285"/>
      <c r="H172" s="285"/>
      <c r="I172" s="285"/>
      <c r="J172" s="285"/>
      <c r="K172" s="35"/>
      <c r="L172" s="285"/>
      <c r="M172" s="285"/>
      <c r="N172" s="181"/>
      <c r="O172" s="285"/>
      <c r="P172" s="37" t="s">
        <v>821</v>
      </c>
      <c r="Q172" s="181"/>
      <c r="R172" s="181"/>
      <c r="S172" s="652"/>
    </row>
    <row r="173" ht="15.75" customHeight="1">
      <c r="A173" s="310">
        <v>168.0</v>
      </c>
      <c r="B173" s="351" t="str">
        <f t="shared" si="1"/>
        <v/>
      </c>
      <c r="C173" s="320"/>
      <c r="D173" s="181"/>
      <c r="E173" s="285"/>
      <c r="F173" s="285"/>
      <c r="G173" s="285"/>
      <c r="H173" s="285"/>
      <c r="I173" s="285"/>
      <c r="J173" s="285"/>
      <c r="K173" s="35"/>
      <c r="L173" s="285"/>
      <c r="M173" s="285"/>
      <c r="N173" s="181"/>
      <c r="O173" s="285"/>
      <c r="P173" s="37" t="s">
        <v>821</v>
      </c>
      <c r="Q173" s="181"/>
      <c r="R173" s="181"/>
      <c r="S173" s="652"/>
    </row>
    <row r="174" ht="15.75" customHeight="1">
      <c r="A174" s="310">
        <v>169.0</v>
      </c>
      <c r="B174" s="351" t="str">
        <f t="shared" si="1"/>
        <v/>
      </c>
      <c r="C174" s="320"/>
      <c r="D174" s="181"/>
      <c r="E174" s="285"/>
      <c r="F174" s="285"/>
      <c r="G174" s="285"/>
      <c r="H174" s="285"/>
      <c r="I174" s="285"/>
      <c r="J174" s="285"/>
      <c r="K174" s="35"/>
      <c r="L174" s="285"/>
      <c r="M174" s="285"/>
      <c r="N174" s="181"/>
      <c r="O174" s="285"/>
      <c r="P174" s="37" t="s">
        <v>821</v>
      </c>
      <c r="Q174" s="181"/>
      <c r="R174" s="181"/>
      <c r="S174" s="652"/>
    </row>
    <row r="175" ht="15.75" customHeight="1">
      <c r="A175" s="310">
        <v>170.0</v>
      </c>
      <c r="B175" s="351" t="str">
        <f t="shared" si="1"/>
        <v/>
      </c>
      <c r="C175" s="320"/>
      <c r="D175" s="181"/>
      <c r="E175" s="285"/>
      <c r="F175" s="285"/>
      <c r="G175" s="285"/>
      <c r="H175" s="285"/>
      <c r="I175" s="285"/>
      <c r="J175" s="285"/>
      <c r="K175" s="35"/>
      <c r="L175" s="285"/>
      <c r="M175" s="285"/>
      <c r="N175" s="181"/>
      <c r="O175" s="285"/>
      <c r="P175" s="37" t="s">
        <v>821</v>
      </c>
      <c r="Q175" s="181"/>
      <c r="R175" s="181"/>
      <c r="S175" s="652"/>
    </row>
    <row r="176" ht="15.75" customHeight="1">
      <c r="A176" s="310">
        <v>171.0</v>
      </c>
      <c r="B176" s="351" t="str">
        <f t="shared" si="1"/>
        <v/>
      </c>
      <c r="C176" s="320"/>
      <c r="D176" s="181"/>
      <c r="E176" s="285"/>
      <c r="F176" s="285"/>
      <c r="G176" s="285"/>
      <c r="H176" s="285"/>
      <c r="I176" s="285"/>
      <c r="J176" s="285"/>
      <c r="K176" s="35"/>
      <c r="L176" s="285"/>
      <c r="M176" s="285"/>
      <c r="N176" s="181"/>
      <c r="O176" s="285"/>
      <c r="P176" s="37" t="s">
        <v>821</v>
      </c>
      <c r="Q176" s="181"/>
      <c r="R176" s="181"/>
      <c r="S176" s="652"/>
    </row>
    <row r="177" ht="15.75" customHeight="1">
      <c r="A177" s="310">
        <v>172.0</v>
      </c>
      <c r="B177" s="351" t="str">
        <f t="shared" si="1"/>
        <v/>
      </c>
      <c r="C177" s="320"/>
      <c r="D177" s="181"/>
      <c r="E177" s="285"/>
      <c r="F177" s="285"/>
      <c r="G177" s="285"/>
      <c r="H177" s="285"/>
      <c r="I177" s="285"/>
      <c r="J177" s="285"/>
      <c r="K177" s="35"/>
      <c r="L177" s="285"/>
      <c r="M177" s="285"/>
      <c r="N177" s="181"/>
      <c r="O177" s="285"/>
      <c r="P177" s="37" t="s">
        <v>821</v>
      </c>
      <c r="Q177" s="181"/>
      <c r="R177" s="181"/>
      <c r="S177" s="652"/>
    </row>
    <row r="178" ht="15.75" customHeight="1">
      <c r="A178" s="310">
        <v>173.0</v>
      </c>
      <c r="B178" s="351" t="str">
        <f t="shared" si="1"/>
        <v/>
      </c>
      <c r="C178" s="320"/>
      <c r="D178" s="181"/>
      <c r="E178" s="285"/>
      <c r="F178" s="285"/>
      <c r="G178" s="285"/>
      <c r="H178" s="285"/>
      <c r="I178" s="285"/>
      <c r="J178" s="285"/>
      <c r="K178" s="35"/>
      <c r="L178" s="285"/>
      <c r="M178" s="285"/>
      <c r="N178" s="181"/>
      <c r="O178" s="285"/>
      <c r="P178" s="37" t="s">
        <v>821</v>
      </c>
      <c r="Q178" s="181"/>
      <c r="R178" s="181"/>
      <c r="S178" s="652"/>
    </row>
    <row r="179" ht="15.75" customHeight="1">
      <c r="A179" s="310">
        <v>174.0</v>
      </c>
      <c r="B179" s="351" t="str">
        <f t="shared" si="1"/>
        <v/>
      </c>
      <c r="C179" s="320"/>
      <c r="D179" s="181"/>
      <c r="E179" s="285"/>
      <c r="F179" s="285"/>
      <c r="G179" s="285"/>
      <c r="H179" s="285"/>
      <c r="I179" s="285"/>
      <c r="J179" s="285"/>
      <c r="K179" s="35"/>
      <c r="L179" s="285"/>
      <c r="M179" s="285"/>
      <c r="N179" s="181"/>
      <c r="O179" s="285"/>
      <c r="P179" s="37" t="s">
        <v>821</v>
      </c>
      <c r="Q179" s="181"/>
      <c r="R179" s="181"/>
      <c r="S179" s="652"/>
    </row>
    <row r="180" ht="15.75" customHeight="1">
      <c r="A180" s="310">
        <v>175.0</v>
      </c>
      <c r="B180" s="351" t="str">
        <f t="shared" si="1"/>
        <v/>
      </c>
      <c r="C180" s="320"/>
      <c r="D180" s="181"/>
      <c r="E180" s="285"/>
      <c r="F180" s="285"/>
      <c r="G180" s="285"/>
      <c r="H180" s="285"/>
      <c r="I180" s="285"/>
      <c r="J180" s="285"/>
      <c r="K180" s="35"/>
      <c r="L180" s="285"/>
      <c r="M180" s="285"/>
      <c r="N180" s="181"/>
      <c r="O180" s="285"/>
      <c r="P180" s="37" t="s">
        <v>821</v>
      </c>
      <c r="Q180" s="181"/>
      <c r="R180" s="181"/>
      <c r="S180" s="652"/>
    </row>
    <row r="181" ht="15.75" customHeight="1">
      <c r="A181" s="310">
        <v>176.0</v>
      </c>
      <c r="B181" s="351" t="str">
        <f t="shared" si="1"/>
        <v/>
      </c>
      <c r="C181" s="320"/>
      <c r="D181" s="181"/>
      <c r="E181" s="285"/>
      <c r="F181" s="285"/>
      <c r="G181" s="285"/>
      <c r="H181" s="285"/>
      <c r="I181" s="285"/>
      <c r="J181" s="285"/>
      <c r="K181" s="35"/>
      <c r="L181" s="285"/>
      <c r="M181" s="285"/>
      <c r="N181" s="181"/>
      <c r="O181" s="285"/>
      <c r="P181" s="37" t="s">
        <v>821</v>
      </c>
      <c r="Q181" s="181"/>
      <c r="R181" s="181"/>
      <c r="S181" s="652"/>
    </row>
    <row r="182" ht="15.75" customHeight="1">
      <c r="A182" s="310">
        <v>177.0</v>
      </c>
      <c r="B182" s="351" t="str">
        <f t="shared" si="1"/>
        <v/>
      </c>
      <c r="C182" s="320"/>
      <c r="D182" s="181"/>
      <c r="E182" s="285"/>
      <c r="F182" s="285"/>
      <c r="G182" s="285"/>
      <c r="H182" s="285"/>
      <c r="I182" s="285"/>
      <c r="J182" s="285"/>
      <c r="K182" s="35"/>
      <c r="L182" s="285"/>
      <c r="M182" s="285"/>
      <c r="N182" s="181"/>
      <c r="O182" s="285"/>
      <c r="P182" s="37" t="s">
        <v>821</v>
      </c>
      <c r="Q182" s="181"/>
      <c r="R182" s="181"/>
      <c r="S182" s="652"/>
    </row>
    <row r="183" ht="15.75" customHeight="1">
      <c r="A183" s="310">
        <v>178.0</v>
      </c>
      <c r="B183" s="351" t="str">
        <f t="shared" si="1"/>
        <v/>
      </c>
      <c r="C183" s="320"/>
      <c r="D183" s="181"/>
      <c r="E183" s="285"/>
      <c r="F183" s="285"/>
      <c r="G183" s="285"/>
      <c r="H183" s="285"/>
      <c r="I183" s="285"/>
      <c r="J183" s="285"/>
      <c r="K183" s="35"/>
      <c r="L183" s="285"/>
      <c r="M183" s="285"/>
      <c r="N183" s="181"/>
      <c r="O183" s="285"/>
      <c r="P183" s="37" t="s">
        <v>821</v>
      </c>
      <c r="Q183" s="181"/>
      <c r="R183" s="181"/>
      <c r="S183" s="652"/>
    </row>
    <row r="184" ht="15.75" customHeight="1">
      <c r="A184" s="310">
        <v>179.0</v>
      </c>
      <c r="B184" s="351" t="str">
        <f t="shared" si="1"/>
        <v/>
      </c>
      <c r="C184" s="320"/>
      <c r="D184" s="181"/>
      <c r="E184" s="285"/>
      <c r="F184" s="285"/>
      <c r="G184" s="285"/>
      <c r="H184" s="285"/>
      <c r="I184" s="285"/>
      <c r="J184" s="285"/>
      <c r="K184" s="35"/>
      <c r="L184" s="285"/>
      <c r="M184" s="285"/>
      <c r="N184" s="181"/>
      <c r="O184" s="285"/>
      <c r="P184" s="37" t="s">
        <v>821</v>
      </c>
      <c r="Q184" s="181"/>
      <c r="R184" s="181"/>
      <c r="S184" s="652"/>
    </row>
    <row r="185" ht="15.75" customHeight="1">
      <c r="A185" s="310">
        <v>180.0</v>
      </c>
      <c r="B185" s="351" t="str">
        <f t="shared" si="1"/>
        <v/>
      </c>
      <c r="C185" s="320"/>
      <c r="D185" s="181"/>
      <c r="E185" s="285"/>
      <c r="F185" s="285"/>
      <c r="G185" s="285"/>
      <c r="H185" s="285"/>
      <c r="I185" s="285"/>
      <c r="J185" s="285"/>
      <c r="K185" s="35"/>
      <c r="L185" s="285"/>
      <c r="M185" s="285"/>
      <c r="N185" s="181"/>
      <c r="O185" s="285"/>
      <c r="P185" s="37" t="s">
        <v>821</v>
      </c>
      <c r="Q185" s="181"/>
      <c r="R185" s="181"/>
      <c r="S185" s="652"/>
    </row>
    <row r="186" ht="15.75" customHeight="1">
      <c r="A186" s="310">
        <v>181.0</v>
      </c>
      <c r="B186" s="351" t="str">
        <f t="shared" si="1"/>
        <v/>
      </c>
      <c r="C186" s="320"/>
      <c r="D186" s="181"/>
      <c r="E186" s="285"/>
      <c r="F186" s="285"/>
      <c r="G186" s="285"/>
      <c r="H186" s="285"/>
      <c r="I186" s="285"/>
      <c r="J186" s="285"/>
      <c r="K186" s="35"/>
      <c r="L186" s="285"/>
      <c r="M186" s="285"/>
      <c r="N186" s="181"/>
      <c r="O186" s="285"/>
      <c r="P186" s="37" t="s">
        <v>821</v>
      </c>
      <c r="Q186" s="181"/>
      <c r="R186" s="181"/>
      <c r="S186" s="652"/>
    </row>
    <row r="187" ht="15.75" customHeight="1">
      <c r="A187" s="310">
        <v>182.0</v>
      </c>
      <c r="B187" s="351" t="str">
        <f t="shared" si="1"/>
        <v/>
      </c>
      <c r="C187" s="320"/>
      <c r="D187" s="181"/>
      <c r="E187" s="285"/>
      <c r="F187" s="285"/>
      <c r="G187" s="285"/>
      <c r="H187" s="285"/>
      <c r="I187" s="285"/>
      <c r="J187" s="285"/>
      <c r="K187" s="35"/>
      <c r="L187" s="285"/>
      <c r="M187" s="285"/>
      <c r="N187" s="181"/>
      <c r="O187" s="285"/>
      <c r="P187" s="37" t="s">
        <v>821</v>
      </c>
      <c r="Q187" s="181"/>
      <c r="R187" s="181"/>
      <c r="S187" s="652"/>
    </row>
    <row r="188" ht="15.75" customHeight="1">
      <c r="A188" s="310">
        <v>183.0</v>
      </c>
      <c r="B188" s="351" t="str">
        <f t="shared" si="1"/>
        <v/>
      </c>
      <c r="C188" s="320"/>
      <c r="D188" s="181"/>
      <c r="E188" s="285"/>
      <c r="F188" s="285"/>
      <c r="G188" s="285"/>
      <c r="H188" s="285"/>
      <c r="I188" s="285"/>
      <c r="J188" s="285"/>
      <c r="K188" s="35"/>
      <c r="L188" s="285"/>
      <c r="M188" s="285"/>
      <c r="N188" s="181"/>
      <c r="O188" s="285"/>
      <c r="P188" s="37" t="s">
        <v>821</v>
      </c>
      <c r="Q188" s="181"/>
      <c r="R188" s="181"/>
      <c r="S188" s="652"/>
    </row>
    <row r="189" ht="15.75" customHeight="1">
      <c r="A189" s="310">
        <v>184.0</v>
      </c>
      <c r="B189" s="351" t="str">
        <f t="shared" si="1"/>
        <v/>
      </c>
      <c r="C189" s="320"/>
      <c r="D189" s="181"/>
      <c r="E189" s="285"/>
      <c r="F189" s="285"/>
      <c r="G189" s="285"/>
      <c r="H189" s="285"/>
      <c r="I189" s="285"/>
      <c r="J189" s="285"/>
      <c r="K189" s="35"/>
      <c r="L189" s="285"/>
      <c r="M189" s="285"/>
      <c r="N189" s="181"/>
      <c r="O189" s="285"/>
      <c r="P189" s="37" t="s">
        <v>821</v>
      </c>
      <c r="Q189" s="181"/>
      <c r="R189" s="181"/>
      <c r="S189" s="652"/>
    </row>
    <row r="190" ht="15.75" customHeight="1">
      <c r="A190" s="310">
        <v>185.0</v>
      </c>
      <c r="B190" s="351" t="str">
        <f t="shared" si="1"/>
        <v/>
      </c>
      <c r="C190" s="320"/>
      <c r="D190" s="181"/>
      <c r="E190" s="285"/>
      <c r="F190" s="285"/>
      <c r="G190" s="285"/>
      <c r="H190" s="285"/>
      <c r="I190" s="285"/>
      <c r="J190" s="285"/>
      <c r="K190" s="35"/>
      <c r="L190" s="285"/>
      <c r="M190" s="285"/>
      <c r="N190" s="181"/>
      <c r="O190" s="285"/>
      <c r="P190" s="37" t="s">
        <v>821</v>
      </c>
      <c r="Q190" s="181"/>
      <c r="R190" s="181"/>
      <c r="S190" s="652"/>
    </row>
    <row r="191" ht="15.75" customHeight="1">
      <c r="A191" s="310">
        <v>186.0</v>
      </c>
      <c r="B191" s="351" t="str">
        <f t="shared" si="1"/>
        <v/>
      </c>
      <c r="C191" s="320"/>
      <c r="D191" s="181"/>
      <c r="E191" s="285"/>
      <c r="F191" s="285"/>
      <c r="G191" s="285"/>
      <c r="H191" s="285"/>
      <c r="I191" s="285"/>
      <c r="J191" s="285"/>
      <c r="K191" s="35"/>
      <c r="L191" s="285"/>
      <c r="M191" s="285"/>
      <c r="N191" s="181"/>
      <c r="O191" s="285"/>
      <c r="P191" s="37" t="s">
        <v>821</v>
      </c>
      <c r="Q191" s="181"/>
      <c r="R191" s="181"/>
      <c r="S191" s="652"/>
    </row>
    <row r="192" ht="15.75" customHeight="1">
      <c r="A192" s="310">
        <v>187.0</v>
      </c>
      <c r="B192" s="351" t="str">
        <f t="shared" si="1"/>
        <v/>
      </c>
      <c r="C192" s="320"/>
      <c r="D192" s="181"/>
      <c r="E192" s="285"/>
      <c r="F192" s="285"/>
      <c r="G192" s="285"/>
      <c r="H192" s="285"/>
      <c r="I192" s="285"/>
      <c r="J192" s="285"/>
      <c r="K192" s="35"/>
      <c r="L192" s="285"/>
      <c r="M192" s="285"/>
      <c r="N192" s="181"/>
      <c r="O192" s="285"/>
      <c r="P192" s="37" t="s">
        <v>821</v>
      </c>
      <c r="Q192" s="181"/>
      <c r="R192" s="181"/>
      <c r="S192" s="652"/>
    </row>
    <row r="193" ht="15.75" customHeight="1">
      <c r="A193" s="310">
        <v>188.0</v>
      </c>
      <c r="B193" s="351" t="str">
        <f t="shared" si="1"/>
        <v/>
      </c>
      <c r="C193" s="320"/>
      <c r="D193" s="181"/>
      <c r="E193" s="285"/>
      <c r="F193" s="285"/>
      <c r="G193" s="285"/>
      <c r="H193" s="285"/>
      <c r="I193" s="285"/>
      <c r="J193" s="285"/>
      <c r="K193" s="35"/>
      <c r="L193" s="285"/>
      <c r="M193" s="285"/>
      <c r="N193" s="181"/>
      <c r="O193" s="285"/>
      <c r="P193" s="37" t="s">
        <v>821</v>
      </c>
      <c r="Q193" s="181"/>
      <c r="R193" s="181"/>
      <c r="S193" s="652"/>
    </row>
    <row r="194" ht="15.75" customHeight="1">
      <c r="A194" s="310">
        <v>189.0</v>
      </c>
      <c r="B194" s="351" t="str">
        <f t="shared" si="1"/>
        <v/>
      </c>
      <c r="C194" s="320"/>
      <c r="D194" s="181"/>
      <c r="E194" s="285"/>
      <c r="F194" s="285"/>
      <c r="G194" s="285"/>
      <c r="H194" s="285"/>
      <c r="I194" s="285"/>
      <c r="J194" s="285"/>
      <c r="K194" s="35"/>
      <c r="L194" s="285"/>
      <c r="M194" s="285"/>
      <c r="N194" s="181"/>
      <c r="O194" s="285"/>
      <c r="P194" s="37" t="s">
        <v>821</v>
      </c>
      <c r="Q194" s="181"/>
      <c r="R194" s="181"/>
      <c r="S194" s="652"/>
    </row>
    <row r="195" ht="15.75" customHeight="1">
      <c r="A195" s="310">
        <v>190.0</v>
      </c>
      <c r="B195" s="351" t="str">
        <f t="shared" si="1"/>
        <v/>
      </c>
      <c r="C195" s="320"/>
      <c r="D195" s="181"/>
      <c r="E195" s="285"/>
      <c r="F195" s="285"/>
      <c r="G195" s="285"/>
      <c r="H195" s="285"/>
      <c r="I195" s="285"/>
      <c r="J195" s="285"/>
      <c r="K195" s="35"/>
      <c r="L195" s="285"/>
      <c r="M195" s="285"/>
      <c r="N195" s="181"/>
      <c r="O195" s="285"/>
      <c r="P195" s="37" t="s">
        <v>821</v>
      </c>
      <c r="Q195" s="181"/>
      <c r="R195" s="181"/>
      <c r="S195" s="652"/>
    </row>
    <row r="196" ht="15.75" customHeight="1">
      <c r="A196" s="310">
        <v>191.0</v>
      </c>
      <c r="B196" s="351" t="str">
        <f t="shared" si="1"/>
        <v/>
      </c>
      <c r="C196" s="320"/>
      <c r="D196" s="181"/>
      <c r="E196" s="285"/>
      <c r="F196" s="285"/>
      <c r="G196" s="285"/>
      <c r="H196" s="285"/>
      <c r="I196" s="285"/>
      <c r="J196" s="285"/>
      <c r="K196" s="35"/>
      <c r="L196" s="285"/>
      <c r="M196" s="285"/>
      <c r="N196" s="181"/>
      <c r="O196" s="285"/>
      <c r="P196" s="37" t="s">
        <v>821</v>
      </c>
      <c r="Q196" s="181"/>
      <c r="R196" s="181"/>
      <c r="S196" s="652"/>
    </row>
    <row r="197" ht="15.75" customHeight="1">
      <c r="A197" s="310">
        <v>192.0</v>
      </c>
      <c r="B197" s="351" t="str">
        <f t="shared" si="1"/>
        <v/>
      </c>
      <c r="C197" s="320"/>
      <c r="D197" s="181"/>
      <c r="E197" s="285"/>
      <c r="F197" s="285"/>
      <c r="G197" s="285"/>
      <c r="H197" s="285"/>
      <c r="I197" s="285"/>
      <c r="J197" s="285"/>
      <c r="K197" s="35"/>
      <c r="L197" s="285"/>
      <c r="M197" s="285"/>
      <c r="N197" s="181"/>
      <c r="O197" s="285"/>
      <c r="P197" s="37" t="s">
        <v>821</v>
      </c>
      <c r="Q197" s="181"/>
      <c r="R197" s="181"/>
      <c r="S197" s="652"/>
    </row>
    <row r="198" ht="15.75" customHeight="1">
      <c r="A198" s="310">
        <v>193.0</v>
      </c>
      <c r="B198" s="351" t="str">
        <f t="shared" si="1"/>
        <v/>
      </c>
      <c r="C198" s="320"/>
      <c r="D198" s="181"/>
      <c r="E198" s="285"/>
      <c r="F198" s="285"/>
      <c r="G198" s="285"/>
      <c r="H198" s="285"/>
      <c r="I198" s="285"/>
      <c r="J198" s="285"/>
      <c r="K198" s="35"/>
      <c r="L198" s="285"/>
      <c r="M198" s="285"/>
      <c r="N198" s="181"/>
      <c r="O198" s="285"/>
      <c r="P198" s="37" t="s">
        <v>821</v>
      </c>
      <c r="Q198" s="181"/>
      <c r="R198" s="181"/>
      <c r="S198" s="652"/>
    </row>
    <row r="199" ht="15.75" customHeight="1">
      <c r="A199" s="310">
        <v>194.0</v>
      </c>
      <c r="B199" s="351" t="str">
        <f t="shared" si="1"/>
        <v/>
      </c>
      <c r="C199" s="320"/>
      <c r="D199" s="181"/>
      <c r="E199" s="285"/>
      <c r="F199" s="285"/>
      <c r="G199" s="285"/>
      <c r="H199" s="285"/>
      <c r="I199" s="285"/>
      <c r="J199" s="285"/>
      <c r="K199" s="35"/>
      <c r="L199" s="285"/>
      <c r="M199" s="285"/>
      <c r="N199" s="181"/>
      <c r="O199" s="285"/>
      <c r="P199" s="37" t="s">
        <v>821</v>
      </c>
      <c r="Q199" s="181"/>
      <c r="R199" s="181"/>
      <c r="S199" s="652"/>
    </row>
    <row r="200" ht="15.75" customHeight="1">
      <c r="A200" s="660">
        <v>195.0</v>
      </c>
      <c r="B200" s="351" t="str">
        <f t="shared" si="1"/>
        <v/>
      </c>
      <c r="C200" s="661"/>
      <c r="D200" s="201"/>
      <c r="E200" s="662"/>
      <c r="F200" s="285"/>
      <c r="G200" s="285"/>
      <c r="H200" s="285"/>
      <c r="I200" s="285"/>
      <c r="J200" s="285"/>
      <c r="K200" s="35"/>
      <c r="L200" s="285"/>
      <c r="M200" s="662"/>
      <c r="N200" s="201"/>
      <c r="O200" s="662"/>
      <c r="P200" s="37" t="s">
        <v>821</v>
      </c>
      <c r="Q200" s="201"/>
      <c r="R200" s="201"/>
      <c r="S200" s="663"/>
    </row>
    <row r="201" ht="15.75" customHeight="1">
      <c r="F201" s="206"/>
      <c r="Q201" s="337"/>
      <c r="R201" s="337"/>
      <c r="S201" s="206"/>
    </row>
    <row r="202" ht="15.75" customHeight="1">
      <c r="F202" s="206"/>
      <c r="Q202" s="337"/>
      <c r="R202" s="337"/>
      <c r="S202" s="206"/>
    </row>
    <row r="203" ht="15.75" customHeight="1">
      <c r="F203" s="206"/>
      <c r="Q203" s="337"/>
      <c r="R203" s="337"/>
      <c r="S203" s="206"/>
    </row>
    <row r="204" ht="15.75" customHeight="1">
      <c r="F204" s="206"/>
      <c r="Q204" s="337"/>
      <c r="R204" s="337"/>
      <c r="S204" s="206"/>
    </row>
    <row r="205" ht="15.75" customHeight="1">
      <c r="F205" s="206"/>
      <c r="Q205" s="337"/>
      <c r="R205" s="337"/>
      <c r="S205" s="206"/>
    </row>
    <row r="206" ht="15.75" customHeight="1">
      <c r="F206" s="206"/>
      <c r="Q206" s="337"/>
      <c r="R206" s="337"/>
      <c r="S206" s="206"/>
    </row>
    <row r="207" ht="15.75" customHeight="1">
      <c r="F207" s="206"/>
      <c r="Q207" s="337"/>
      <c r="R207" s="337"/>
      <c r="S207" s="206"/>
    </row>
    <row r="208" ht="15.75" customHeight="1">
      <c r="F208" s="206"/>
      <c r="Q208" s="337"/>
      <c r="R208" s="337"/>
      <c r="S208" s="206"/>
    </row>
    <row r="209" ht="15.75" customHeight="1">
      <c r="F209" s="206"/>
      <c r="Q209" s="337"/>
      <c r="R209" s="337"/>
      <c r="S209" s="206"/>
    </row>
    <row r="210" ht="15.75" customHeight="1">
      <c r="F210" s="206"/>
      <c r="Q210" s="337"/>
      <c r="R210" s="337"/>
      <c r="S210" s="206"/>
    </row>
    <row r="211" ht="15.75" customHeight="1">
      <c r="F211" s="206"/>
      <c r="Q211" s="337"/>
      <c r="R211" s="337"/>
      <c r="S211" s="206"/>
    </row>
    <row r="212" ht="15.75" customHeight="1">
      <c r="F212" s="206"/>
      <c r="Q212" s="337"/>
      <c r="R212" s="337"/>
      <c r="S212" s="206"/>
    </row>
    <row r="213" ht="15.75" customHeight="1">
      <c r="F213" s="206"/>
      <c r="Q213" s="337"/>
      <c r="R213" s="337"/>
      <c r="S213" s="206"/>
    </row>
    <row r="214" ht="15.75" customHeight="1">
      <c r="F214" s="206"/>
      <c r="Q214" s="337"/>
      <c r="R214" s="337"/>
      <c r="S214" s="206"/>
    </row>
    <row r="215" ht="15.75" customHeight="1">
      <c r="F215" s="206"/>
      <c r="Q215" s="337"/>
      <c r="R215" s="337"/>
      <c r="S215" s="206"/>
    </row>
    <row r="216" ht="15.75" customHeight="1">
      <c r="F216" s="206"/>
      <c r="Q216" s="337"/>
      <c r="R216" s="337"/>
      <c r="S216" s="206"/>
    </row>
    <row r="217" ht="15.75" customHeight="1">
      <c r="F217" s="206"/>
      <c r="Q217" s="337"/>
      <c r="R217" s="337"/>
      <c r="S217" s="206"/>
    </row>
    <row r="218" ht="15.75" customHeight="1">
      <c r="F218" s="206"/>
      <c r="Q218" s="337"/>
      <c r="R218" s="337"/>
      <c r="S218" s="206"/>
    </row>
    <row r="219" ht="15.75" customHeight="1">
      <c r="F219" s="206"/>
      <c r="Q219" s="337"/>
      <c r="R219" s="337"/>
      <c r="S219" s="206"/>
    </row>
    <row r="220" ht="15.75" customHeight="1">
      <c r="F220" s="206"/>
      <c r="Q220" s="337"/>
      <c r="R220" s="337"/>
      <c r="S220" s="206"/>
    </row>
    <row r="221" ht="15.75" customHeight="1">
      <c r="F221" s="206"/>
      <c r="Q221" s="337"/>
      <c r="R221" s="337"/>
      <c r="S221" s="206"/>
    </row>
    <row r="222" ht="15.75" customHeight="1">
      <c r="F222" s="206"/>
      <c r="Q222" s="337"/>
      <c r="R222" s="337"/>
      <c r="S222" s="206"/>
    </row>
    <row r="223" ht="15.75" customHeight="1">
      <c r="F223" s="206"/>
      <c r="Q223" s="337"/>
      <c r="R223" s="337"/>
      <c r="S223" s="206"/>
    </row>
    <row r="224" ht="15.75" customHeight="1">
      <c r="F224" s="206"/>
      <c r="Q224" s="337"/>
      <c r="R224" s="337"/>
      <c r="S224" s="206"/>
    </row>
    <row r="225" ht="15.75" customHeight="1">
      <c r="F225" s="206"/>
      <c r="Q225" s="337"/>
      <c r="R225" s="337"/>
      <c r="S225" s="206"/>
    </row>
    <row r="226" ht="15.75" customHeight="1">
      <c r="F226" s="206"/>
      <c r="Q226" s="337"/>
      <c r="R226" s="337"/>
      <c r="S226" s="206"/>
    </row>
    <row r="227" ht="15.75" customHeight="1">
      <c r="F227" s="206"/>
      <c r="Q227" s="337"/>
      <c r="R227" s="337"/>
      <c r="S227" s="206"/>
    </row>
    <row r="228" ht="15.75" customHeight="1">
      <c r="F228" s="206"/>
      <c r="Q228" s="337"/>
      <c r="R228" s="337"/>
      <c r="S228" s="206"/>
    </row>
    <row r="229" ht="15.75" customHeight="1">
      <c r="F229" s="206"/>
      <c r="Q229" s="337"/>
      <c r="R229" s="337"/>
      <c r="S229" s="206"/>
    </row>
    <row r="230" ht="15.75" customHeight="1">
      <c r="F230" s="206"/>
      <c r="Q230" s="337"/>
      <c r="R230" s="337"/>
      <c r="S230" s="206"/>
    </row>
    <row r="231" ht="15.75" customHeight="1">
      <c r="F231" s="206"/>
      <c r="Q231" s="337"/>
      <c r="R231" s="337"/>
      <c r="S231" s="206"/>
    </row>
    <row r="232" ht="15.75" customHeight="1">
      <c r="F232" s="206"/>
      <c r="Q232" s="337"/>
      <c r="R232" s="337"/>
      <c r="S232" s="206"/>
    </row>
    <row r="233" ht="15.75" customHeight="1">
      <c r="F233" s="206"/>
      <c r="Q233" s="337"/>
      <c r="R233" s="337"/>
      <c r="S233" s="206"/>
    </row>
    <row r="234" ht="15.75" customHeight="1">
      <c r="F234" s="206"/>
      <c r="Q234" s="337"/>
      <c r="R234" s="337"/>
      <c r="S234" s="206"/>
    </row>
    <row r="235" ht="15.75" customHeight="1">
      <c r="F235" s="206"/>
      <c r="Q235" s="337"/>
      <c r="R235" s="337"/>
      <c r="S235" s="206"/>
    </row>
    <row r="236" ht="15.75" customHeight="1">
      <c r="F236" s="206"/>
      <c r="Q236" s="337"/>
      <c r="R236" s="337"/>
      <c r="S236" s="206"/>
    </row>
    <row r="237" ht="15.75" customHeight="1">
      <c r="F237" s="206"/>
      <c r="Q237" s="337"/>
      <c r="R237" s="337"/>
      <c r="S237" s="206"/>
    </row>
    <row r="238" ht="15.75" customHeight="1">
      <c r="F238" s="206"/>
      <c r="Q238" s="337"/>
      <c r="R238" s="337"/>
      <c r="S238" s="206"/>
    </row>
    <row r="239" ht="15.75" customHeight="1">
      <c r="F239" s="206"/>
      <c r="Q239" s="337"/>
      <c r="R239" s="337"/>
      <c r="S239" s="206"/>
    </row>
    <row r="240" ht="15.75" customHeight="1">
      <c r="F240" s="206"/>
      <c r="Q240" s="337"/>
      <c r="R240" s="337"/>
      <c r="S240" s="206"/>
    </row>
    <row r="241" ht="15.75" customHeight="1">
      <c r="F241" s="206"/>
      <c r="Q241" s="337"/>
      <c r="R241" s="337"/>
      <c r="S241" s="206"/>
    </row>
    <row r="242" ht="15.75" customHeight="1">
      <c r="F242" s="206"/>
      <c r="Q242" s="337"/>
      <c r="R242" s="337"/>
      <c r="S242" s="206"/>
    </row>
    <row r="243" ht="15.75" customHeight="1">
      <c r="F243" s="206"/>
      <c r="Q243" s="337"/>
      <c r="R243" s="337"/>
      <c r="S243" s="206"/>
    </row>
    <row r="244" ht="15.75" customHeight="1">
      <c r="F244" s="206"/>
      <c r="Q244" s="337"/>
      <c r="R244" s="337"/>
      <c r="S244" s="206"/>
    </row>
    <row r="245" ht="15.75" customHeight="1">
      <c r="F245" s="206"/>
      <c r="Q245" s="337"/>
      <c r="R245" s="337"/>
      <c r="S245" s="206"/>
    </row>
    <row r="246" ht="15.75" customHeight="1">
      <c r="F246" s="206"/>
      <c r="Q246" s="337"/>
      <c r="R246" s="337"/>
      <c r="S246" s="206"/>
    </row>
    <row r="247" ht="15.75" customHeight="1">
      <c r="F247" s="206"/>
      <c r="Q247" s="337"/>
      <c r="R247" s="337"/>
      <c r="S247" s="206"/>
    </row>
    <row r="248" ht="15.75" customHeight="1">
      <c r="F248" s="206"/>
      <c r="Q248" s="337"/>
      <c r="R248" s="337"/>
      <c r="S248" s="206"/>
    </row>
    <row r="249" ht="15.75" customHeight="1">
      <c r="F249" s="206"/>
      <c r="Q249" s="337"/>
      <c r="R249" s="337"/>
      <c r="S249" s="206"/>
    </row>
    <row r="250" ht="15.75" customHeight="1">
      <c r="F250" s="206"/>
      <c r="Q250" s="337"/>
      <c r="R250" s="337"/>
      <c r="S250" s="206"/>
    </row>
    <row r="251" ht="15.75" customHeight="1">
      <c r="F251" s="206"/>
      <c r="Q251" s="337"/>
      <c r="R251" s="337"/>
      <c r="S251" s="206"/>
    </row>
    <row r="252" ht="15.75" customHeight="1">
      <c r="F252" s="206"/>
      <c r="Q252" s="337"/>
      <c r="R252" s="337"/>
      <c r="S252" s="206"/>
    </row>
    <row r="253" ht="15.75" customHeight="1">
      <c r="F253" s="206"/>
      <c r="Q253" s="337"/>
      <c r="R253" s="337"/>
      <c r="S253" s="206"/>
    </row>
    <row r="254" ht="15.75" customHeight="1">
      <c r="F254" s="206"/>
      <c r="Q254" s="337"/>
      <c r="R254" s="337"/>
      <c r="S254" s="206"/>
    </row>
    <row r="255" ht="15.75" customHeight="1">
      <c r="F255" s="206"/>
      <c r="Q255" s="337"/>
      <c r="R255" s="337"/>
      <c r="S255" s="206"/>
    </row>
    <row r="256" ht="15.75" customHeight="1">
      <c r="F256" s="206"/>
      <c r="Q256" s="337"/>
      <c r="R256" s="337"/>
      <c r="S256" s="206"/>
    </row>
    <row r="257" ht="15.75" customHeight="1">
      <c r="F257" s="206"/>
      <c r="Q257" s="337"/>
      <c r="R257" s="337"/>
      <c r="S257" s="206"/>
    </row>
    <row r="258" ht="15.75" customHeight="1">
      <c r="F258" s="206"/>
      <c r="Q258" s="337"/>
      <c r="R258" s="337"/>
      <c r="S258" s="206"/>
    </row>
    <row r="259" ht="15.75" customHeight="1">
      <c r="F259" s="206"/>
      <c r="Q259" s="337"/>
      <c r="R259" s="337"/>
      <c r="S259" s="206"/>
    </row>
    <row r="260" ht="15.75" customHeight="1">
      <c r="F260" s="206"/>
      <c r="Q260" s="337"/>
      <c r="R260" s="337"/>
      <c r="S260" s="206"/>
    </row>
    <row r="261" ht="15.75" customHeight="1">
      <c r="F261" s="206"/>
      <c r="Q261" s="337"/>
      <c r="R261" s="337"/>
      <c r="S261" s="206"/>
    </row>
    <row r="262" ht="15.75" customHeight="1">
      <c r="F262" s="206"/>
      <c r="Q262" s="337"/>
      <c r="R262" s="337"/>
      <c r="S262" s="206"/>
    </row>
    <row r="263" ht="15.75" customHeight="1">
      <c r="F263" s="206"/>
      <c r="Q263" s="337"/>
      <c r="R263" s="337"/>
      <c r="S263" s="206"/>
    </row>
    <row r="264" ht="15.75" customHeight="1">
      <c r="F264" s="206"/>
      <c r="Q264" s="337"/>
      <c r="R264" s="337"/>
      <c r="S264" s="206"/>
    </row>
    <row r="265" ht="15.75" customHeight="1">
      <c r="F265" s="206"/>
      <c r="Q265" s="337"/>
      <c r="R265" s="337"/>
      <c r="S265" s="206"/>
    </row>
    <row r="266" ht="15.75" customHeight="1">
      <c r="F266" s="206"/>
      <c r="Q266" s="337"/>
      <c r="R266" s="337"/>
      <c r="S266" s="206"/>
    </row>
    <row r="267" ht="15.75" customHeight="1">
      <c r="F267" s="206"/>
      <c r="Q267" s="337"/>
      <c r="R267" s="337"/>
      <c r="S267" s="206"/>
    </row>
    <row r="268" ht="15.75" customHeight="1">
      <c r="F268" s="206"/>
      <c r="Q268" s="337"/>
      <c r="R268" s="337"/>
      <c r="S268" s="206"/>
    </row>
    <row r="269" ht="15.75" customHeight="1">
      <c r="F269" s="206"/>
      <c r="Q269" s="337"/>
      <c r="R269" s="337"/>
      <c r="S269" s="206"/>
    </row>
    <row r="270" ht="15.75" customHeight="1">
      <c r="F270" s="206"/>
      <c r="Q270" s="337"/>
      <c r="R270" s="337"/>
      <c r="S270" s="206"/>
    </row>
    <row r="271" ht="15.75" customHeight="1">
      <c r="F271" s="206"/>
      <c r="Q271" s="337"/>
      <c r="R271" s="337"/>
      <c r="S271" s="206"/>
    </row>
    <row r="272" ht="15.75" customHeight="1">
      <c r="F272" s="206"/>
      <c r="Q272" s="337"/>
      <c r="R272" s="337"/>
      <c r="S272" s="206"/>
    </row>
    <row r="273" ht="15.75" customHeight="1">
      <c r="F273" s="206"/>
      <c r="Q273" s="337"/>
      <c r="R273" s="337"/>
      <c r="S273" s="206"/>
    </row>
    <row r="274" ht="15.75" customHeight="1">
      <c r="F274" s="206"/>
      <c r="Q274" s="337"/>
      <c r="R274" s="337"/>
      <c r="S274" s="206"/>
    </row>
    <row r="275" ht="15.75" customHeight="1">
      <c r="F275" s="206"/>
      <c r="Q275" s="337"/>
      <c r="R275" s="337"/>
      <c r="S275" s="206"/>
    </row>
    <row r="276" ht="15.75" customHeight="1">
      <c r="F276" s="206"/>
      <c r="Q276" s="337"/>
      <c r="R276" s="337"/>
      <c r="S276" s="206"/>
    </row>
    <row r="277" ht="15.75" customHeight="1">
      <c r="F277" s="206"/>
      <c r="Q277" s="337"/>
      <c r="R277" s="337"/>
      <c r="S277" s="206"/>
    </row>
    <row r="278" ht="15.75" customHeight="1">
      <c r="F278" s="206"/>
      <c r="Q278" s="337"/>
      <c r="R278" s="337"/>
      <c r="S278" s="206"/>
    </row>
    <row r="279" ht="15.75" customHeight="1">
      <c r="F279" s="206"/>
      <c r="Q279" s="337"/>
      <c r="R279" s="337"/>
      <c r="S279" s="206"/>
    </row>
    <row r="280" ht="15.75" customHeight="1">
      <c r="F280" s="206"/>
      <c r="Q280" s="337"/>
      <c r="R280" s="337"/>
      <c r="S280" s="206"/>
    </row>
    <row r="281" ht="15.75" customHeight="1">
      <c r="F281" s="206"/>
      <c r="Q281" s="337"/>
      <c r="R281" s="337"/>
      <c r="S281" s="206"/>
    </row>
    <row r="282" ht="15.75" customHeight="1">
      <c r="F282" s="206"/>
      <c r="Q282" s="337"/>
      <c r="R282" s="337"/>
      <c r="S282" s="206"/>
    </row>
    <row r="283" ht="15.75" customHeight="1">
      <c r="F283" s="206"/>
      <c r="Q283" s="337"/>
      <c r="R283" s="337"/>
      <c r="S283" s="206"/>
    </row>
    <row r="284" ht="15.75" customHeight="1">
      <c r="F284" s="206"/>
      <c r="Q284" s="337"/>
      <c r="R284" s="337"/>
      <c r="S284" s="206"/>
    </row>
    <row r="285" ht="15.75" customHeight="1">
      <c r="F285" s="206"/>
      <c r="Q285" s="337"/>
      <c r="R285" s="337"/>
      <c r="S285" s="206"/>
    </row>
    <row r="286" ht="15.75" customHeight="1">
      <c r="F286" s="206"/>
      <c r="Q286" s="337"/>
      <c r="R286" s="337"/>
      <c r="S286" s="206"/>
    </row>
    <row r="287" ht="15.75" customHeight="1">
      <c r="F287" s="206"/>
      <c r="Q287" s="337"/>
      <c r="R287" s="337"/>
      <c r="S287" s="206"/>
    </row>
    <row r="288" ht="15.75" customHeight="1">
      <c r="F288" s="206"/>
      <c r="Q288" s="337"/>
      <c r="R288" s="337"/>
      <c r="S288" s="206"/>
    </row>
    <row r="289" ht="15.75" customHeight="1">
      <c r="F289" s="206"/>
      <c r="Q289" s="337"/>
      <c r="R289" s="337"/>
      <c r="S289" s="206"/>
    </row>
    <row r="290" ht="15.75" customHeight="1">
      <c r="F290" s="206"/>
      <c r="Q290" s="337"/>
      <c r="R290" s="337"/>
      <c r="S290" s="206"/>
    </row>
    <row r="291" ht="15.75" customHeight="1">
      <c r="F291" s="206"/>
      <c r="Q291" s="337"/>
      <c r="R291" s="337"/>
      <c r="S291" s="206"/>
    </row>
    <row r="292" ht="15.75" customHeight="1">
      <c r="F292" s="206"/>
      <c r="Q292" s="337"/>
      <c r="R292" s="337"/>
      <c r="S292" s="206"/>
    </row>
    <row r="293" ht="15.75" customHeight="1">
      <c r="F293" s="206"/>
      <c r="Q293" s="337"/>
      <c r="R293" s="337"/>
      <c r="S293" s="206"/>
    </row>
    <row r="294" ht="15.75" customHeight="1">
      <c r="F294" s="206"/>
      <c r="Q294" s="337"/>
      <c r="R294" s="337"/>
      <c r="S294" s="206"/>
    </row>
    <row r="295" ht="15.75" customHeight="1">
      <c r="F295" s="206"/>
      <c r="Q295" s="337"/>
      <c r="R295" s="337"/>
      <c r="S295" s="206"/>
    </row>
    <row r="296" ht="15.75" customHeight="1">
      <c r="F296" s="206"/>
      <c r="Q296" s="337"/>
      <c r="R296" s="337"/>
      <c r="S296" s="206"/>
    </row>
    <row r="297" ht="15.75" customHeight="1">
      <c r="F297" s="206"/>
      <c r="Q297" s="337"/>
      <c r="R297" s="337"/>
      <c r="S297" s="206"/>
    </row>
    <row r="298" ht="15.75" customHeight="1">
      <c r="F298" s="206"/>
      <c r="Q298" s="337"/>
      <c r="R298" s="337"/>
      <c r="S298" s="206"/>
    </row>
    <row r="299" ht="15.75" customHeight="1">
      <c r="F299" s="206"/>
      <c r="Q299" s="337"/>
      <c r="R299" s="337"/>
      <c r="S299" s="206"/>
    </row>
    <row r="300" ht="15.75" customHeight="1">
      <c r="F300" s="206"/>
      <c r="Q300" s="337"/>
      <c r="R300" s="337"/>
      <c r="S300" s="206"/>
    </row>
    <row r="301" ht="15.75" customHeight="1">
      <c r="F301" s="206"/>
      <c r="Q301" s="337"/>
      <c r="R301" s="337"/>
      <c r="S301" s="206"/>
    </row>
    <row r="302" ht="15.75" customHeight="1">
      <c r="F302" s="206"/>
      <c r="Q302" s="337"/>
      <c r="R302" s="337"/>
      <c r="S302" s="206"/>
    </row>
    <row r="303" ht="15.75" customHeight="1">
      <c r="F303" s="206"/>
      <c r="Q303" s="337"/>
      <c r="R303" s="337"/>
      <c r="S303" s="206"/>
    </row>
    <row r="304" ht="15.75" customHeight="1">
      <c r="F304" s="206"/>
      <c r="Q304" s="337"/>
      <c r="R304" s="337"/>
      <c r="S304" s="206"/>
    </row>
    <row r="305" ht="15.75" customHeight="1">
      <c r="F305" s="206"/>
      <c r="Q305" s="337"/>
      <c r="R305" s="337"/>
      <c r="S305" s="206"/>
    </row>
    <row r="306" ht="15.75" customHeight="1">
      <c r="F306" s="206"/>
      <c r="Q306" s="337"/>
      <c r="R306" s="337"/>
      <c r="S306" s="206"/>
    </row>
    <row r="307" ht="15.75" customHeight="1">
      <c r="F307" s="206"/>
      <c r="Q307" s="337"/>
      <c r="R307" s="337"/>
      <c r="S307" s="206"/>
    </row>
    <row r="308" ht="15.75" customHeight="1">
      <c r="F308" s="206"/>
      <c r="Q308" s="337"/>
      <c r="R308" s="337"/>
      <c r="S308" s="206"/>
    </row>
    <row r="309" ht="15.75" customHeight="1">
      <c r="F309" s="206"/>
      <c r="Q309" s="337"/>
      <c r="R309" s="337"/>
      <c r="S309" s="206"/>
    </row>
    <row r="310" ht="15.75" customHeight="1">
      <c r="F310" s="206"/>
      <c r="Q310" s="337"/>
      <c r="R310" s="337"/>
      <c r="S310" s="206"/>
    </row>
    <row r="311" ht="15.75" customHeight="1">
      <c r="F311" s="206"/>
      <c r="Q311" s="337"/>
      <c r="R311" s="337"/>
      <c r="S311" s="206"/>
    </row>
    <row r="312" ht="15.75" customHeight="1">
      <c r="F312" s="206"/>
      <c r="Q312" s="337"/>
      <c r="R312" s="337"/>
      <c r="S312" s="206"/>
    </row>
    <row r="313" ht="15.75" customHeight="1">
      <c r="F313" s="206"/>
      <c r="Q313" s="337"/>
      <c r="R313" s="337"/>
      <c r="S313" s="206"/>
    </row>
    <row r="314" ht="15.75" customHeight="1">
      <c r="F314" s="206"/>
      <c r="Q314" s="337"/>
      <c r="R314" s="337"/>
      <c r="S314" s="206"/>
    </row>
    <row r="315" ht="15.75" customHeight="1">
      <c r="F315" s="206"/>
      <c r="Q315" s="337"/>
      <c r="R315" s="337"/>
      <c r="S315" s="206"/>
    </row>
    <row r="316" ht="15.75" customHeight="1">
      <c r="F316" s="206"/>
      <c r="Q316" s="337"/>
      <c r="R316" s="337"/>
      <c r="S316" s="206"/>
    </row>
    <row r="317" ht="15.75" customHeight="1">
      <c r="F317" s="206"/>
      <c r="Q317" s="337"/>
      <c r="R317" s="337"/>
      <c r="S317" s="206"/>
    </row>
    <row r="318" ht="15.75" customHeight="1">
      <c r="F318" s="206"/>
      <c r="Q318" s="337"/>
      <c r="R318" s="337"/>
      <c r="S318" s="206"/>
    </row>
    <row r="319" ht="15.75" customHeight="1">
      <c r="F319" s="206"/>
      <c r="Q319" s="337"/>
      <c r="R319" s="337"/>
      <c r="S319" s="206"/>
    </row>
    <row r="320" ht="15.75" customHeight="1">
      <c r="F320" s="206"/>
      <c r="Q320" s="337"/>
      <c r="R320" s="337"/>
      <c r="S320" s="206"/>
    </row>
    <row r="321" ht="15.75" customHeight="1">
      <c r="F321" s="206"/>
      <c r="Q321" s="337"/>
      <c r="R321" s="337"/>
      <c r="S321" s="206"/>
    </row>
    <row r="322" ht="15.75" customHeight="1">
      <c r="F322" s="206"/>
      <c r="Q322" s="337"/>
      <c r="R322" s="337"/>
      <c r="S322" s="206"/>
    </row>
    <row r="323" ht="15.75" customHeight="1">
      <c r="F323" s="206"/>
      <c r="Q323" s="337"/>
      <c r="R323" s="337"/>
      <c r="S323" s="206"/>
    </row>
    <row r="324" ht="15.75" customHeight="1">
      <c r="F324" s="206"/>
      <c r="Q324" s="337"/>
      <c r="R324" s="337"/>
      <c r="S324" s="206"/>
    </row>
    <row r="325" ht="15.75" customHeight="1">
      <c r="F325" s="206"/>
      <c r="Q325" s="337"/>
      <c r="R325" s="337"/>
      <c r="S325" s="206"/>
    </row>
    <row r="326" ht="15.75" customHeight="1">
      <c r="F326" s="206"/>
      <c r="Q326" s="337"/>
      <c r="R326" s="337"/>
      <c r="S326" s="206"/>
    </row>
    <row r="327" ht="15.75" customHeight="1">
      <c r="F327" s="206"/>
      <c r="Q327" s="337"/>
      <c r="R327" s="337"/>
      <c r="S327" s="206"/>
    </row>
    <row r="328" ht="15.75" customHeight="1">
      <c r="F328" s="206"/>
      <c r="Q328" s="337"/>
      <c r="R328" s="337"/>
      <c r="S328" s="206"/>
    </row>
    <row r="329" ht="15.75" customHeight="1">
      <c r="F329" s="206"/>
      <c r="Q329" s="337"/>
      <c r="R329" s="337"/>
      <c r="S329" s="206"/>
    </row>
    <row r="330" ht="15.75" customHeight="1">
      <c r="F330" s="206"/>
      <c r="Q330" s="337"/>
      <c r="R330" s="337"/>
      <c r="S330" s="206"/>
    </row>
    <row r="331" ht="15.75" customHeight="1">
      <c r="F331" s="206"/>
      <c r="Q331" s="337"/>
      <c r="R331" s="337"/>
      <c r="S331" s="206"/>
    </row>
    <row r="332" ht="15.75" customHeight="1">
      <c r="F332" s="206"/>
      <c r="Q332" s="337"/>
      <c r="R332" s="337"/>
      <c r="S332" s="206"/>
    </row>
    <row r="333" ht="15.75" customHeight="1">
      <c r="F333" s="206"/>
      <c r="Q333" s="337"/>
      <c r="R333" s="337"/>
      <c r="S333" s="206"/>
    </row>
    <row r="334" ht="15.75" customHeight="1">
      <c r="F334" s="206"/>
      <c r="Q334" s="337"/>
      <c r="R334" s="337"/>
      <c r="S334" s="206"/>
    </row>
    <row r="335" ht="15.75" customHeight="1">
      <c r="F335" s="206"/>
      <c r="Q335" s="337"/>
      <c r="R335" s="337"/>
      <c r="S335" s="206"/>
    </row>
    <row r="336" ht="15.75" customHeight="1">
      <c r="F336" s="206"/>
      <c r="Q336" s="337"/>
      <c r="R336" s="337"/>
      <c r="S336" s="206"/>
    </row>
    <row r="337" ht="15.75" customHeight="1">
      <c r="F337" s="206"/>
      <c r="Q337" s="337"/>
      <c r="R337" s="337"/>
      <c r="S337" s="206"/>
    </row>
    <row r="338" ht="15.75" customHeight="1">
      <c r="F338" s="206"/>
      <c r="Q338" s="337"/>
      <c r="R338" s="337"/>
      <c r="S338" s="206"/>
    </row>
    <row r="339" ht="15.75" customHeight="1">
      <c r="F339" s="206"/>
      <c r="Q339" s="337"/>
      <c r="R339" s="337"/>
      <c r="S339" s="206"/>
    </row>
    <row r="340" ht="15.75" customHeight="1">
      <c r="F340" s="206"/>
      <c r="Q340" s="337"/>
      <c r="R340" s="337"/>
      <c r="S340" s="206"/>
    </row>
    <row r="341" ht="15.75" customHeight="1">
      <c r="F341" s="206"/>
      <c r="Q341" s="337"/>
      <c r="R341" s="337"/>
      <c r="S341" s="206"/>
    </row>
    <row r="342" ht="15.75" customHeight="1">
      <c r="F342" s="206"/>
      <c r="Q342" s="337"/>
      <c r="R342" s="337"/>
      <c r="S342" s="206"/>
    </row>
    <row r="343" ht="15.75" customHeight="1">
      <c r="F343" s="206"/>
      <c r="Q343" s="337"/>
      <c r="R343" s="337"/>
      <c r="S343" s="206"/>
    </row>
    <row r="344" ht="15.75" customHeight="1">
      <c r="F344" s="206"/>
      <c r="Q344" s="337"/>
      <c r="R344" s="337"/>
      <c r="S344" s="206"/>
    </row>
    <row r="345" ht="15.75" customHeight="1">
      <c r="F345" s="206"/>
      <c r="Q345" s="337"/>
      <c r="R345" s="337"/>
      <c r="S345" s="206"/>
    </row>
    <row r="346" ht="15.75" customHeight="1">
      <c r="F346" s="206"/>
      <c r="Q346" s="337"/>
      <c r="R346" s="337"/>
      <c r="S346" s="206"/>
    </row>
    <row r="347" ht="15.75" customHeight="1">
      <c r="F347" s="206"/>
      <c r="Q347" s="337"/>
      <c r="R347" s="337"/>
      <c r="S347" s="206"/>
    </row>
    <row r="348" ht="15.75" customHeight="1">
      <c r="F348" s="206"/>
      <c r="Q348" s="337"/>
      <c r="R348" s="337"/>
      <c r="S348" s="206"/>
    </row>
    <row r="349" ht="15.75" customHeight="1">
      <c r="F349" s="206"/>
      <c r="Q349" s="337"/>
      <c r="R349" s="337"/>
      <c r="S349" s="206"/>
    </row>
    <row r="350" ht="15.75" customHeight="1">
      <c r="F350" s="206"/>
      <c r="Q350" s="337"/>
      <c r="R350" s="337"/>
      <c r="S350" s="206"/>
    </row>
    <row r="351" ht="15.75" customHeight="1">
      <c r="F351" s="206"/>
      <c r="Q351" s="337"/>
      <c r="R351" s="337"/>
      <c r="S351" s="206"/>
    </row>
    <row r="352" ht="15.75" customHeight="1">
      <c r="F352" s="206"/>
      <c r="Q352" s="337"/>
      <c r="R352" s="337"/>
      <c r="S352" s="206"/>
    </row>
    <row r="353" ht="15.75" customHeight="1">
      <c r="F353" s="206"/>
      <c r="Q353" s="337"/>
      <c r="R353" s="337"/>
      <c r="S353" s="206"/>
    </row>
    <row r="354" ht="15.75" customHeight="1">
      <c r="F354" s="206"/>
      <c r="Q354" s="337"/>
      <c r="R354" s="337"/>
      <c r="S354" s="206"/>
    </row>
    <row r="355" ht="15.75" customHeight="1">
      <c r="F355" s="206"/>
      <c r="Q355" s="337"/>
      <c r="R355" s="337"/>
      <c r="S355" s="206"/>
    </row>
    <row r="356" ht="15.75" customHeight="1">
      <c r="F356" s="206"/>
      <c r="Q356" s="337"/>
      <c r="R356" s="337"/>
      <c r="S356" s="206"/>
    </row>
    <row r="357" ht="15.75" customHeight="1">
      <c r="F357" s="206"/>
      <c r="Q357" s="337"/>
      <c r="R357" s="337"/>
      <c r="S357" s="206"/>
    </row>
    <row r="358" ht="15.75" customHeight="1">
      <c r="F358" s="206"/>
      <c r="Q358" s="337"/>
      <c r="R358" s="337"/>
      <c r="S358" s="206"/>
    </row>
    <row r="359" ht="15.75" customHeight="1">
      <c r="F359" s="206"/>
      <c r="Q359" s="337"/>
      <c r="R359" s="337"/>
      <c r="S359" s="206"/>
    </row>
    <row r="360" ht="15.75" customHeight="1">
      <c r="F360" s="206"/>
      <c r="Q360" s="337"/>
      <c r="R360" s="337"/>
      <c r="S360" s="206"/>
    </row>
    <row r="361" ht="15.75" customHeight="1">
      <c r="F361" s="206"/>
      <c r="Q361" s="337"/>
      <c r="R361" s="337"/>
      <c r="S361" s="206"/>
    </row>
    <row r="362" ht="15.75" customHeight="1">
      <c r="F362" s="206"/>
      <c r="Q362" s="337"/>
      <c r="R362" s="337"/>
      <c r="S362" s="206"/>
    </row>
    <row r="363" ht="15.75" customHeight="1">
      <c r="F363" s="206"/>
      <c r="Q363" s="337"/>
      <c r="R363" s="337"/>
      <c r="S363" s="206"/>
    </row>
    <row r="364" ht="15.75" customHeight="1">
      <c r="F364" s="206"/>
      <c r="Q364" s="337"/>
      <c r="R364" s="337"/>
      <c r="S364" s="206"/>
    </row>
    <row r="365" ht="15.75" customHeight="1">
      <c r="F365" s="206"/>
      <c r="Q365" s="337"/>
      <c r="R365" s="337"/>
      <c r="S365" s="206"/>
    </row>
    <row r="366" ht="15.75" customHeight="1">
      <c r="F366" s="206"/>
      <c r="Q366" s="337"/>
      <c r="R366" s="337"/>
      <c r="S366" s="206"/>
    </row>
    <row r="367" ht="15.75" customHeight="1">
      <c r="F367" s="206"/>
      <c r="Q367" s="337"/>
      <c r="R367" s="337"/>
      <c r="S367" s="206"/>
    </row>
    <row r="368" ht="15.75" customHeight="1">
      <c r="F368" s="206"/>
      <c r="Q368" s="337"/>
      <c r="R368" s="337"/>
      <c r="S368" s="206"/>
    </row>
    <row r="369" ht="15.75" customHeight="1">
      <c r="F369" s="206"/>
      <c r="Q369" s="337"/>
      <c r="R369" s="337"/>
      <c r="S369" s="206"/>
    </row>
    <row r="370" ht="15.75" customHeight="1">
      <c r="F370" s="206"/>
      <c r="Q370" s="337"/>
      <c r="R370" s="337"/>
      <c r="S370" s="206"/>
    </row>
    <row r="371" ht="15.75" customHeight="1">
      <c r="F371" s="206"/>
      <c r="Q371" s="337"/>
      <c r="R371" s="337"/>
      <c r="S371" s="206"/>
    </row>
    <row r="372" ht="15.75" customHeight="1">
      <c r="F372" s="206"/>
      <c r="Q372" s="337"/>
      <c r="R372" s="337"/>
      <c r="S372" s="206"/>
    </row>
    <row r="373" ht="15.75" customHeight="1">
      <c r="F373" s="206"/>
      <c r="Q373" s="337"/>
      <c r="R373" s="337"/>
      <c r="S373" s="206"/>
    </row>
    <row r="374" ht="15.75" customHeight="1">
      <c r="F374" s="206"/>
      <c r="Q374" s="337"/>
      <c r="R374" s="337"/>
      <c r="S374" s="206"/>
    </row>
    <row r="375" ht="15.75" customHeight="1">
      <c r="F375" s="206"/>
      <c r="Q375" s="337"/>
      <c r="R375" s="337"/>
      <c r="S375" s="206"/>
    </row>
    <row r="376" ht="15.75" customHeight="1">
      <c r="F376" s="206"/>
      <c r="Q376" s="337"/>
      <c r="R376" s="337"/>
      <c r="S376" s="206"/>
    </row>
    <row r="377" ht="15.75" customHeight="1">
      <c r="F377" s="206"/>
      <c r="Q377" s="337"/>
      <c r="R377" s="337"/>
      <c r="S377" s="206"/>
    </row>
    <row r="378" ht="15.75" customHeight="1">
      <c r="F378" s="206"/>
      <c r="Q378" s="337"/>
      <c r="R378" s="337"/>
      <c r="S378" s="206"/>
    </row>
    <row r="379" ht="15.75" customHeight="1">
      <c r="F379" s="206"/>
      <c r="Q379" s="337"/>
      <c r="R379" s="337"/>
      <c r="S379" s="206"/>
    </row>
    <row r="380" ht="15.75" customHeight="1">
      <c r="F380" s="206"/>
      <c r="Q380" s="337"/>
      <c r="R380" s="337"/>
      <c r="S380" s="206"/>
    </row>
    <row r="381" ht="15.75" customHeight="1">
      <c r="F381" s="206"/>
      <c r="Q381" s="337"/>
      <c r="R381" s="337"/>
      <c r="S381" s="206"/>
    </row>
    <row r="382" ht="15.75" customHeight="1">
      <c r="F382" s="206"/>
      <c r="Q382" s="337"/>
      <c r="R382" s="337"/>
      <c r="S382" s="206"/>
    </row>
    <row r="383" ht="15.75" customHeight="1">
      <c r="F383" s="206"/>
      <c r="Q383" s="337"/>
      <c r="R383" s="337"/>
      <c r="S383" s="206"/>
    </row>
    <row r="384" ht="15.75" customHeight="1">
      <c r="F384" s="206"/>
      <c r="Q384" s="337"/>
      <c r="R384" s="337"/>
      <c r="S384" s="206"/>
    </row>
    <row r="385" ht="15.75" customHeight="1">
      <c r="F385" s="206"/>
      <c r="Q385" s="337"/>
      <c r="R385" s="337"/>
      <c r="S385" s="206"/>
    </row>
    <row r="386" ht="15.75" customHeight="1">
      <c r="F386" s="206"/>
      <c r="Q386" s="337"/>
      <c r="R386" s="337"/>
      <c r="S386" s="206"/>
    </row>
    <row r="387" ht="15.75" customHeight="1">
      <c r="F387" s="206"/>
      <c r="Q387" s="337"/>
      <c r="R387" s="337"/>
      <c r="S387" s="206"/>
    </row>
    <row r="388" ht="15.75" customHeight="1">
      <c r="F388" s="206"/>
      <c r="Q388" s="337"/>
      <c r="R388" s="337"/>
      <c r="S388" s="206"/>
    </row>
    <row r="389" ht="15.75" customHeight="1">
      <c r="F389" s="206"/>
      <c r="Q389" s="337"/>
      <c r="R389" s="337"/>
      <c r="S389" s="206"/>
    </row>
    <row r="390" ht="15.75" customHeight="1">
      <c r="F390" s="206"/>
      <c r="Q390" s="337"/>
      <c r="R390" s="337"/>
      <c r="S390" s="206"/>
    </row>
    <row r="391" ht="15.75" customHeight="1">
      <c r="F391" s="206"/>
      <c r="Q391" s="337"/>
      <c r="R391" s="337"/>
      <c r="S391" s="206"/>
    </row>
    <row r="392" ht="15.75" customHeight="1">
      <c r="F392" s="206"/>
      <c r="Q392" s="337"/>
      <c r="R392" s="337"/>
      <c r="S392" s="206"/>
    </row>
    <row r="393" ht="15.75" customHeight="1">
      <c r="F393" s="206"/>
      <c r="Q393" s="337"/>
      <c r="R393" s="337"/>
      <c r="S393" s="206"/>
    </row>
    <row r="394" ht="15.75" customHeight="1">
      <c r="F394" s="206"/>
      <c r="Q394" s="337"/>
      <c r="R394" s="337"/>
      <c r="S394" s="206"/>
    </row>
    <row r="395" ht="15.75" customHeight="1">
      <c r="F395" s="206"/>
      <c r="Q395" s="337"/>
      <c r="R395" s="337"/>
      <c r="S395" s="206"/>
    </row>
    <row r="396" ht="15.75" customHeight="1">
      <c r="F396" s="206"/>
      <c r="Q396" s="337"/>
      <c r="R396" s="337"/>
      <c r="S396" s="206"/>
    </row>
    <row r="397" ht="15.75" customHeight="1">
      <c r="F397" s="206"/>
      <c r="Q397" s="337"/>
      <c r="R397" s="337"/>
      <c r="S397" s="206"/>
    </row>
    <row r="398" ht="15.75" customHeight="1">
      <c r="F398" s="206"/>
      <c r="Q398" s="337"/>
      <c r="R398" s="337"/>
      <c r="S398" s="206"/>
    </row>
    <row r="399" ht="15.75" customHeight="1">
      <c r="F399" s="206"/>
      <c r="Q399" s="337"/>
      <c r="R399" s="337"/>
      <c r="S399" s="206"/>
    </row>
    <row r="400" ht="15.75" customHeight="1">
      <c r="F400" s="206"/>
      <c r="Q400" s="337"/>
      <c r="R400" s="337"/>
      <c r="S400" s="206"/>
    </row>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5:$O$200">
    <sortState ref="B5:O200">
      <sortCondition descending="1" ref="D5:D200"/>
    </sortState>
  </autoFilter>
  <customSheetViews>
    <customSheetView guid="{51569149-E141-4BAE-8E4C-36F8378668C1}" filter="1" showAutoFilter="1">
      <autoFilter ref="$C$5:$C$92"/>
    </customSheetView>
  </customSheetViews>
  <mergeCells count="5">
    <mergeCell ref="A1:S3"/>
    <mergeCell ref="A4:C4"/>
    <mergeCell ref="D4:E4"/>
    <mergeCell ref="F4:J4"/>
    <mergeCell ref="P4:R4"/>
  </mergeCells>
  <conditionalFormatting sqref="Q6:Q7">
    <cfRule type="expression" dxfId="1" priority="1">
      <formula>countif(Q:Q,Q6)&gt;1</formula>
    </cfRule>
  </conditionalFormatting>
  <conditionalFormatting sqref="R6:R7">
    <cfRule type="expression" dxfId="2" priority="2">
      <formula>countif(R:R,R6)&gt;1</formula>
    </cfRule>
  </conditionalFormatting>
  <conditionalFormatting sqref="R6:R7">
    <cfRule type="expression" dxfId="3" priority="3">
      <formula>AND(COUNTIF(R$6:$X1003, R6) &gt; 0, COUNTIF($AC:$AD, R6) &gt; 0)</formula>
    </cfRule>
  </conditionalFormatting>
  <conditionalFormatting sqref="Q6:Q7">
    <cfRule type="expression" dxfId="3" priority="4">
      <formula>AND(COUNTIF(Q$6:$W1003, Q6) &gt; 0, COUNTIF($AC:$AD, Q6) &gt; 0)</formula>
    </cfRule>
  </conditionalFormatting>
  <conditionalFormatting sqref="D6:D200">
    <cfRule type="expression" dxfId="1" priority="5">
      <formula>COUNTIF(D:D,D6)&gt;1</formula>
    </cfRule>
  </conditionalFormatting>
  <conditionalFormatting sqref="Q6:Q86">
    <cfRule type="expression" dxfId="1" priority="6">
      <formula>countif(Q:Q,Q6)&gt;1</formula>
    </cfRule>
  </conditionalFormatting>
  <conditionalFormatting sqref="R6:R86">
    <cfRule type="expression" dxfId="2" priority="7">
      <formula>countif(R:R,R6)&gt;1</formula>
    </cfRule>
  </conditionalFormatting>
  <dataValidations>
    <dataValidation type="list" allowBlank="1" showErrorMessage="1" sqref="C6:C200">
      <formula1>periodestamp</formula1>
    </dataValidation>
    <dataValidation type="list" allowBlank="1" showInputMessage="1" showErrorMessage="1" prompt=" - " sqref="M6:M200">
      <formula1>statpi</formula1>
    </dataValidation>
    <dataValidation type="list" allowBlank="1" showInputMessage="1" showErrorMessage="1" prompt=" - " sqref="L6:L200">
      <formula1>jnspi</formula1>
    </dataValidation>
    <dataValidation type="list" allowBlank="1" showErrorMessage="1" sqref="E6:E200">
      <formula1>kelris</formula1>
    </dataValidation>
    <dataValidation type="list" allowBlank="1" showErrorMessage="1" sqref="F6:J200">
      <formula1>nmperiset</formula1>
    </dataValidation>
    <dataValidation type="custom" allowBlank="1" showDropDown="1" showInputMessage="1" showErrorMessage="1" prompt="Duplikasi!! judul yang anda masukkan sudah terdapat pada list sebelumnya" sqref="D6:D200">
      <formula1>countif($D$6:$D1003,D6)=1</formula1>
    </dataValidation>
    <dataValidation type="list" allowBlank="1" showInputMessage="1" showErrorMessage="1" prompt="Click and enter a value from range" sqref="O6:O200">
      <formula1>reppn</formula1>
    </dataValidation>
  </dataValidations>
  <hyperlinks>
    <hyperlink r:id="rId1" ref="P6"/>
    <hyperlink r:id="rId2" ref="Q6"/>
    <hyperlink r:id="rId3" ref="R6"/>
    <hyperlink r:id="rId4" ref="P7"/>
    <hyperlink r:id="rId5" ref="Q7"/>
    <hyperlink r:id="rId6" ref="R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 r:id="rId25" ref="P26"/>
    <hyperlink r:id="rId26" ref="P27"/>
    <hyperlink r:id="rId27" ref="P28"/>
    <hyperlink r:id="rId28" ref="P29"/>
    <hyperlink r:id="rId29" ref="P30"/>
    <hyperlink r:id="rId30" ref="P31"/>
    <hyperlink r:id="rId31" ref="P32"/>
    <hyperlink r:id="rId32" ref="P33"/>
    <hyperlink r:id="rId33" ref="P34"/>
    <hyperlink r:id="rId34" ref="P35"/>
    <hyperlink r:id="rId35" ref="P36"/>
    <hyperlink r:id="rId36" ref="P37"/>
    <hyperlink r:id="rId37" ref="P38"/>
    <hyperlink r:id="rId38" ref="P39"/>
    <hyperlink r:id="rId39" ref="P40"/>
    <hyperlink r:id="rId40" ref="P41"/>
    <hyperlink r:id="rId41" ref="P42"/>
    <hyperlink r:id="rId42" ref="P43"/>
    <hyperlink r:id="rId43" ref="P44"/>
    <hyperlink r:id="rId44" ref="P45"/>
    <hyperlink r:id="rId45" ref="P46"/>
    <hyperlink r:id="rId46" ref="P47"/>
    <hyperlink r:id="rId47" ref="P48"/>
    <hyperlink r:id="rId48" ref="P49"/>
    <hyperlink r:id="rId49" ref="P50"/>
    <hyperlink r:id="rId50" ref="P51"/>
    <hyperlink r:id="rId51" ref="P52"/>
    <hyperlink r:id="rId52" ref="P53"/>
    <hyperlink r:id="rId53" ref="P54"/>
    <hyperlink r:id="rId54" ref="P55"/>
    <hyperlink r:id="rId55" ref="P56"/>
    <hyperlink r:id="rId56" ref="P57"/>
    <hyperlink r:id="rId57" ref="P58"/>
    <hyperlink r:id="rId58" ref="P59"/>
    <hyperlink r:id="rId59" ref="P60"/>
    <hyperlink r:id="rId60" ref="P61"/>
    <hyperlink r:id="rId61" ref="P62"/>
    <hyperlink r:id="rId62" ref="P63"/>
    <hyperlink r:id="rId63" ref="P64"/>
    <hyperlink r:id="rId64" ref="P65"/>
    <hyperlink r:id="rId65" ref="P66"/>
    <hyperlink r:id="rId66" ref="P67"/>
    <hyperlink r:id="rId67" ref="P68"/>
    <hyperlink r:id="rId68" ref="P69"/>
    <hyperlink r:id="rId69" ref="P70"/>
    <hyperlink r:id="rId70" ref="P71"/>
    <hyperlink r:id="rId71" ref="P72"/>
    <hyperlink r:id="rId72" ref="P73"/>
    <hyperlink r:id="rId73" ref="P74"/>
    <hyperlink r:id="rId74" ref="P75"/>
    <hyperlink r:id="rId75" ref="P76"/>
    <hyperlink r:id="rId76" ref="P77"/>
    <hyperlink r:id="rId77" ref="P78"/>
    <hyperlink r:id="rId78" ref="P79"/>
    <hyperlink r:id="rId79" ref="P80"/>
    <hyperlink r:id="rId80" ref="P81"/>
    <hyperlink r:id="rId81" ref="P82"/>
    <hyperlink r:id="rId82" ref="P83"/>
    <hyperlink r:id="rId83" ref="P84"/>
    <hyperlink r:id="rId84" ref="P85"/>
    <hyperlink r:id="rId85" ref="P86"/>
    <hyperlink r:id="rId86" ref="P87"/>
    <hyperlink r:id="rId87" ref="P88"/>
    <hyperlink r:id="rId88" ref="P89"/>
    <hyperlink r:id="rId89" ref="P90"/>
    <hyperlink r:id="rId90" ref="P91"/>
    <hyperlink r:id="rId91" ref="P92"/>
    <hyperlink r:id="rId92" ref="P93"/>
    <hyperlink r:id="rId93" ref="P94"/>
    <hyperlink r:id="rId94" ref="P95"/>
    <hyperlink r:id="rId95" ref="P96"/>
    <hyperlink r:id="rId96" ref="P97"/>
    <hyperlink r:id="rId97" ref="P98"/>
    <hyperlink r:id="rId98" ref="P99"/>
    <hyperlink r:id="rId99" ref="P100"/>
    <hyperlink r:id="rId100" ref="P101"/>
    <hyperlink r:id="rId101" ref="P102"/>
    <hyperlink r:id="rId102" ref="P103"/>
    <hyperlink r:id="rId103" ref="P104"/>
    <hyperlink r:id="rId104" ref="P105"/>
    <hyperlink r:id="rId105" ref="P106"/>
    <hyperlink r:id="rId106" ref="P107"/>
    <hyperlink r:id="rId107" ref="P108"/>
    <hyperlink r:id="rId108" ref="P109"/>
    <hyperlink r:id="rId109" ref="P110"/>
    <hyperlink r:id="rId110" ref="P111"/>
    <hyperlink r:id="rId111" ref="P112"/>
    <hyperlink r:id="rId112" ref="P113"/>
    <hyperlink r:id="rId113" ref="P114"/>
    <hyperlink r:id="rId114" ref="P115"/>
    <hyperlink r:id="rId115" ref="P116"/>
    <hyperlink r:id="rId116" ref="P117"/>
    <hyperlink r:id="rId117" ref="P118"/>
    <hyperlink r:id="rId118" ref="P119"/>
    <hyperlink r:id="rId119" ref="P120"/>
    <hyperlink r:id="rId120" ref="P121"/>
    <hyperlink r:id="rId121" ref="P122"/>
    <hyperlink r:id="rId122" ref="P123"/>
    <hyperlink r:id="rId123" ref="P124"/>
    <hyperlink r:id="rId124" ref="P125"/>
    <hyperlink r:id="rId125" ref="P126"/>
    <hyperlink r:id="rId126" ref="P127"/>
    <hyperlink r:id="rId127" ref="P128"/>
    <hyperlink r:id="rId128" ref="P129"/>
    <hyperlink r:id="rId129" ref="P130"/>
    <hyperlink r:id="rId130" ref="P131"/>
    <hyperlink r:id="rId131" ref="P132"/>
    <hyperlink r:id="rId132" ref="P133"/>
    <hyperlink r:id="rId133" ref="P134"/>
    <hyperlink r:id="rId134" ref="P135"/>
    <hyperlink r:id="rId135" ref="P136"/>
    <hyperlink r:id="rId136" ref="P137"/>
    <hyperlink r:id="rId137" ref="P138"/>
    <hyperlink r:id="rId138" ref="P139"/>
    <hyperlink r:id="rId139" ref="P140"/>
    <hyperlink r:id="rId140" ref="P141"/>
    <hyperlink r:id="rId141" ref="P142"/>
    <hyperlink r:id="rId142" ref="P143"/>
    <hyperlink r:id="rId143" ref="P144"/>
    <hyperlink r:id="rId144" ref="P145"/>
    <hyperlink r:id="rId145" ref="P146"/>
    <hyperlink r:id="rId146" ref="P147"/>
    <hyperlink r:id="rId147" ref="P148"/>
    <hyperlink r:id="rId148" ref="P149"/>
    <hyperlink r:id="rId149" ref="P150"/>
    <hyperlink r:id="rId150" ref="P151"/>
    <hyperlink r:id="rId151" ref="P152"/>
    <hyperlink r:id="rId152" ref="P153"/>
    <hyperlink r:id="rId153" ref="P154"/>
    <hyperlink r:id="rId154" ref="P155"/>
    <hyperlink r:id="rId155" ref="P156"/>
    <hyperlink r:id="rId156" ref="P157"/>
    <hyperlink r:id="rId157" ref="P158"/>
    <hyperlink r:id="rId158" ref="P159"/>
    <hyperlink r:id="rId159" ref="P160"/>
    <hyperlink r:id="rId160" ref="P161"/>
    <hyperlink r:id="rId161" ref="P162"/>
    <hyperlink r:id="rId162" ref="P163"/>
    <hyperlink r:id="rId163" ref="P164"/>
    <hyperlink r:id="rId164" ref="P165"/>
    <hyperlink r:id="rId165" ref="P166"/>
    <hyperlink r:id="rId166" ref="P167"/>
    <hyperlink r:id="rId167" ref="P168"/>
    <hyperlink r:id="rId168" ref="P169"/>
    <hyperlink r:id="rId169" ref="P170"/>
    <hyperlink r:id="rId170" ref="P171"/>
    <hyperlink r:id="rId171" ref="P172"/>
    <hyperlink r:id="rId172" ref="P173"/>
    <hyperlink r:id="rId173" ref="P174"/>
    <hyperlink r:id="rId174" ref="P175"/>
    <hyperlink r:id="rId175" ref="P176"/>
    <hyperlink r:id="rId176" ref="P177"/>
    <hyperlink r:id="rId177" ref="P178"/>
    <hyperlink r:id="rId178" ref="P179"/>
    <hyperlink r:id="rId179" ref="P180"/>
    <hyperlink r:id="rId180" ref="P181"/>
    <hyperlink r:id="rId181" ref="P182"/>
    <hyperlink r:id="rId182" ref="P183"/>
    <hyperlink r:id="rId183" ref="P184"/>
    <hyperlink r:id="rId184" ref="P185"/>
    <hyperlink r:id="rId185" ref="P186"/>
    <hyperlink r:id="rId186" ref="P187"/>
    <hyperlink r:id="rId187" ref="P188"/>
    <hyperlink r:id="rId188" ref="P189"/>
    <hyperlink r:id="rId189" ref="P190"/>
    <hyperlink r:id="rId190" ref="P191"/>
    <hyperlink r:id="rId191" ref="P192"/>
    <hyperlink r:id="rId192" ref="P193"/>
    <hyperlink r:id="rId193" ref="P194"/>
    <hyperlink r:id="rId194" ref="P195"/>
    <hyperlink r:id="rId195" ref="P196"/>
    <hyperlink r:id="rId196" ref="P197"/>
    <hyperlink r:id="rId197" ref="P198"/>
    <hyperlink r:id="rId198" ref="P199"/>
    <hyperlink r:id="rId199" ref="P200"/>
  </hyperlinks>
  <printOptions/>
  <pageMargins bottom="0.75" footer="0.0" header="0.0" left="0.7" right="0.7" top="0.75"/>
  <pageSetup orientation="landscape"/>
  <drawing r:id="rId20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6.0" topLeftCell="A7" activePane="bottomLeft" state="frozen"/>
      <selection activeCell="B8" sqref="B8" pane="bottomLeft"/>
    </sheetView>
  </sheetViews>
  <sheetFormatPr customHeight="1" defaultColWidth="11.22" defaultRowHeight="15.0"/>
  <cols>
    <col customWidth="1" min="1" max="1" width="3.56"/>
    <col customWidth="1" min="2" max="2" width="26.0"/>
    <col customWidth="1" min="3" max="3" width="15.22"/>
    <col customWidth="1" min="4" max="4" width="17.67"/>
    <col customWidth="1" min="5" max="5" width="6.0"/>
    <col customWidth="1" min="6" max="6" width="9.11"/>
    <col customWidth="1" min="7" max="7" width="5.0"/>
    <col customWidth="1" min="8" max="8" width="11.0"/>
    <col customWidth="1" min="9" max="9" width="8.44"/>
    <col customWidth="1" min="10" max="10" width="10.44"/>
    <col customWidth="1" min="11" max="11" width="10.56"/>
    <col customWidth="1" min="12" max="12" width="11.0"/>
    <col customWidth="1" min="13" max="13" width="9.11"/>
    <col customWidth="1" min="14" max="14" width="10.22"/>
    <col customWidth="1" min="15" max="15" width="7.0"/>
    <col customWidth="1" min="16" max="31" width="8.67"/>
    <col customWidth="1" min="32" max="32" width="4.89"/>
    <col customWidth="1" min="33" max="33" width="10.22"/>
    <col customWidth="1" min="34" max="34" width="6.22"/>
    <col customWidth="1" min="35" max="35" width="9.56"/>
    <col customWidth="1" min="36" max="36" width="7.44"/>
    <col customWidth="1" min="37" max="38" width="6.22"/>
    <col customWidth="1" hidden="1" min="39" max="39" width="6.22"/>
  </cols>
  <sheetData>
    <row r="1" ht="7.5" customHeight="1">
      <c r="A1" s="664" t="s">
        <v>823</v>
      </c>
      <c r="AI1" s="541"/>
      <c r="AJ1" s="541"/>
      <c r="AK1" s="541"/>
      <c r="AL1" s="541"/>
    </row>
    <row r="2">
      <c r="AI2" s="541"/>
      <c r="AJ2" s="541"/>
      <c r="AK2" s="541"/>
      <c r="AL2" s="541"/>
    </row>
    <row r="3" ht="1.5" customHeight="1">
      <c r="AI3" s="541"/>
      <c r="AJ3" s="541"/>
      <c r="AK3" s="541"/>
      <c r="AL3" s="541"/>
    </row>
    <row r="4">
      <c r="A4" s="455" t="s">
        <v>744</v>
      </c>
      <c r="B4" s="6"/>
      <c r="C4" s="6"/>
      <c r="D4" s="6"/>
      <c r="E4" s="664"/>
      <c r="F4" s="664"/>
      <c r="G4" s="664"/>
      <c r="H4" s="664"/>
      <c r="I4" s="664"/>
      <c r="J4" s="664"/>
      <c r="K4" s="664"/>
      <c r="L4" s="541"/>
      <c r="M4" s="541"/>
      <c r="N4" s="541"/>
      <c r="O4" s="541"/>
      <c r="P4" s="541"/>
      <c r="Q4" s="541"/>
      <c r="R4" s="541"/>
      <c r="S4" s="541"/>
      <c r="T4" s="541"/>
      <c r="U4" s="541"/>
      <c r="V4" s="541"/>
      <c r="W4" s="541"/>
      <c r="X4" s="541"/>
      <c r="Y4" s="541"/>
      <c r="Z4" s="541"/>
      <c r="AA4" s="541"/>
      <c r="AB4" s="541"/>
      <c r="AC4" s="541"/>
      <c r="AD4" s="541"/>
      <c r="AE4" s="541"/>
      <c r="AF4" s="665"/>
      <c r="AG4" s="541"/>
      <c r="AH4" s="541"/>
      <c r="AI4" s="541"/>
      <c r="AJ4" s="541"/>
      <c r="AK4" s="541"/>
      <c r="AL4" s="541"/>
    </row>
    <row r="5">
      <c r="A5" s="666" t="s">
        <v>5</v>
      </c>
      <c r="B5" s="667" t="s">
        <v>824</v>
      </c>
      <c r="C5" s="668" t="s">
        <v>825</v>
      </c>
      <c r="D5" s="667" t="s">
        <v>826</v>
      </c>
      <c r="E5" s="667" t="s">
        <v>827</v>
      </c>
      <c r="F5" s="667" t="s">
        <v>828</v>
      </c>
      <c r="G5" s="669" t="s">
        <v>829</v>
      </c>
      <c r="H5" s="670" t="s">
        <v>830</v>
      </c>
      <c r="I5" s="216"/>
      <c r="J5" s="670" t="s">
        <v>21</v>
      </c>
      <c r="K5" s="216"/>
      <c r="L5" s="670" t="s">
        <v>63</v>
      </c>
      <c r="M5" s="216"/>
      <c r="N5" s="670" t="s">
        <v>130</v>
      </c>
      <c r="O5" s="671"/>
      <c r="P5" s="670" t="s">
        <v>164</v>
      </c>
      <c r="Q5" s="216"/>
      <c r="R5" s="670" t="s">
        <v>156</v>
      </c>
      <c r="S5" s="216"/>
      <c r="T5" s="670" t="s">
        <v>206</v>
      </c>
      <c r="U5" s="216"/>
      <c r="V5" s="670" t="s">
        <v>831</v>
      </c>
      <c r="W5" s="216"/>
      <c r="X5" s="670" t="s">
        <v>832</v>
      </c>
      <c r="Y5" s="216"/>
      <c r="Z5" s="670" t="s">
        <v>833</v>
      </c>
      <c r="AA5" s="216"/>
      <c r="AB5" s="670" t="s">
        <v>834</v>
      </c>
      <c r="AC5" s="216"/>
      <c r="AD5" s="670" t="s">
        <v>835</v>
      </c>
      <c r="AE5" s="216"/>
      <c r="AF5" s="665"/>
      <c r="AG5" s="672" t="s">
        <v>836</v>
      </c>
      <c r="AH5" s="671"/>
      <c r="AI5" s="541"/>
      <c r="AJ5" s="541"/>
      <c r="AK5" s="541"/>
      <c r="AL5" s="541"/>
    </row>
    <row r="6">
      <c r="A6" s="673"/>
      <c r="B6" s="674"/>
      <c r="C6" s="674"/>
      <c r="D6" s="674"/>
      <c r="E6" s="674"/>
      <c r="F6" s="674"/>
      <c r="G6" s="674"/>
      <c r="H6" s="675" t="s">
        <v>837</v>
      </c>
      <c r="I6" s="675" t="s">
        <v>838</v>
      </c>
      <c r="J6" s="675" t="s">
        <v>837</v>
      </c>
      <c r="K6" s="675" t="s">
        <v>838</v>
      </c>
      <c r="L6" s="675" t="s">
        <v>837</v>
      </c>
      <c r="M6" s="675" t="s">
        <v>838</v>
      </c>
      <c r="N6" s="675" t="s">
        <v>837</v>
      </c>
      <c r="O6" s="676" t="s">
        <v>838</v>
      </c>
      <c r="P6" s="675" t="s">
        <v>837</v>
      </c>
      <c r="Q6" s="675" t="s">
        <v>838</v>
      </c>
      <c r="R6" s="675" t="s">
        <v>837</v>
      </c>
      <c r="S6" s="675" t="s">
        <v>838</v>
      </c>
      <c r="T6" s="675" t="s">
        <v>837</v>
      </c>
      <c r="U6" s="675" t="s">
        <v>838</v>
      </c>
      <c r="V6" s="675" t="s">
        <v>837</v>
      </c>
      <c r="W6" s="675" t="s">
        <v>838</v>
      </c>
      <c r="X6" s="675" t="s">
        <v>837</v>
      </c>
      <c r="Y6" s="675" t="s">
        <v>838</v>
      </c>
      <c r="Z6" s="675" t="s">
        <v>837</v>
      </c>
      <c r="AA6" s="675" t="s">
        <v>838</v>
      </c>
      <c r="AB6" s="675" t="s">
        <v>837</v>
      </c>
      <c r="AC6" s="675" t="s">
        <v>838</v>
      </c>
      <c r="AD6" s="675" t="s">
        <v>837</v>
      </c>
      <c r="AE6" s="675" t="s">
        <v>838</v>
      </c>
      <c r="AF6" s="665"/>
      <c r="AG6" s="677" t="s">
        <v>839</v>
      </c>
      <c r="AH6" s="676" t="s">
        <v>829</v>
      </c>
      <c r="AI6" s="678" t="s">
        <v>840</v>
      </c>
      <c r="AJ6" s="675" t="s">
        <v>841</v>
      </c>
      <c r="AK6" s="541"/>
      <c r="AL6" s="541"/>
    </row>
    <row r="7" ht="26.25" customHeight="1">
      <c r="A7" s="679">
        <v>1.0</v>
      </c>
      <c r="B7" s="680" t="s">
        <v>208</v>
      </c>
      <c r="C7" s="681" t="s">
        <v>842</v>
      </c>
      <c r="D7" s="682" t="s">
        <v>843</v>
      </c>
      <c r="E7" s="683">
        <v>7.0</v>
      </c>
      <c r="F7" s="684">
        <v>51.0</v>
      </c>
      <c r="G7" s="685">
        <v>185.0</v>
      </c>
      <c r="H7" s="684">
        <v>0.0</v>
      </c>
      <c r="I7" s="686">
        <v>0.0</v>
      </c>
      <c r="J7" s="687">
        <v>0.0</v>
      </c>
      <c r="K7" s="688">
        <v>3.0</v>
      </c>
      <c r="L7" s="689">
        <v>0.0</v>
      </c>
      <c r="M7" s="690">
        <v>1.0</v>
      </c>
      <c r="N7" s="689">
        <v>0.0</v>
      </c>
      <c r="O7" s="691">
        <v>0.0</v>
      </c>
      <c r="P7" s="692">
        <v>0.0</v>
      </c>
      <c r="Q7" s="693">
        <v>2.0</v>
      </c>
      <c r="R7" s="692">
        <v>0.0</v>
      </c>
      <c r="S7" s="693">
        <v>0.0</v>
      </c>
      <c r="T7" s="692">
        <v>1.0</v>
      </c>
      <c r="U7" s="693">
        <v>5.0</v>
      </c>
      <c r="V7" s="694"/>
      <c r="W7" s="695"/>
      <c r="X7" s="694"/>
      <c r="Y7" s="695"/>
      <c r="Z7" s="694"/>
      <c r="AA7" s="695"/>
      <c r="AB7" s="694"/>
      <c r="AC7" s="695"/>
      <c r="AD7" s="694"/>
      <c r="AE7" s="695"/>
      <c r="AF7" s="665"/>
      <c r="AG7" s="696">
        <f t="shared" ref="AG7:AH7" si="1">F7+H7+J7+L7+N7+P7+R7+T7+V7+X7+Z7+AB7+AD7</f>
        <v>52</v>
      </c>
      <c r="AH7" s="697">
        <f t="shared" si="1"/>
        <v>196</v>
      </c>
      <c r="AI7" s="698">
        <f t="shared" ref="AI7:AJ7" si="2">J7+H7+L7+N7+P7+R7+T7+V7+X7+Z7+AB7+AD7</f>
        <v>1</v>
      </c>
      <c r="AJ7" s="699">
        <f t="shared" si="2"/>
        <v>11</v>
      </c>
      <c r="AK7" s="541"/>
      <c r="AL7" s="541"/>
      <c r="AM7" s="700" t="s">
        <v>844</v>
      </c>
    </row>
    <row r="8" ht="26.25" customHeight="1">
      <c r="A8" s="701">
        <v>2.0</v>
      </c>
      <c r="B8" s="702" t="s">
        <v>65</v>
      </c>
      <c r="C8" s="703" t="s">
        <v>845</v>
      </c>
      <c r="D8" s="704" t="s">
        <v>846</v>
      </c>
      <c r="E8" s="705">
        <v>4.0</v>
      </c>
      <c r="F8" s="706">
        <v>22.0</v>
      </c>
      <c r="G8" s="707">
        <v>42.0</v>
      </c>
      <c r="H8" s="706">
        <v>0.0</v>
      </c>
      <c r="I8" s="708">
        <v>0.0</v>
      </c>
      <c r="J8" s="706">
        <v>0.0</v>
      </c>
      <c r="K8" s="708">
        <v>3.0</v>
      </c>
      <c r="L8" s="709">
        <v>1.0</v>
      </c>
      <c r="M8" s="710">
        <v>2.0</v>
      </c>
      <c r="N8" s="709">
        <v>0.0</v>
      </c>
      <c r="O8" s="711">
        <v>1.0</v>
      </c>
      <c r="P8" s="712">
        <v>0.0</v>
      </c>
      <c r="Q8" s="713">
        <v>2.0</v>
      </c>
      <c r="R8" s="712">
        <v>0.0</v>
      </c>
      <c r="S8" s="713">
        <v>2.0</v>
      </c>
      <c r="T8" s="712">
        <v>0.0</v>
      </c>
      <c r="U8" s="713">
        <v>0.0</v>
      </c>
      <c r="V8" s="714"/>
      <c r="W8" s="715"/>
      <c r="X8" s="714"/>
      <c r="Y8" s="715"/>
      <c r="Z8" s="714"/>
      <c r="AA8" s="715"/>
      <c r="AB8" s="714"/>
      <c r="AC8" s="715"/>
      <c r="AD8" s="714"/>
      <c r="AE8" s="715"/>
      <c r="AF8" s="665"/>
      <c r="AG8" s="696">
        <f t="shared" ref="AG8:AH8" si="3">F8+H8+J8+L8+N8+P8+R8+T8+V8+X8+Z8+AB8+AD8</f>
        <v>23</v>
      </c>
      <c r="AH8" s="697">
        <f t="shared" si="3"/>
        <v>52</v>
      </c>
      <c r="AI8" s="698">
        <f t="shared" ref="AI8:AJ8" si="4">J8+H8+L8+N8+P8+R8+T8+V8+X8+Z8+AB8+AD8</f>
        <v>1</v>
      </c>
      <c r="AJ8" s="699">
        <f t="shared" si="4"/>
        <v>10</v>
      </c>
      <c r="AK8" s="541"/>
      <c r="AL8" s="541"/>
      <c r="AM8" s="716" t="s">
        <v>847</v>
      </c>
    </row>
    <row r="9" ht="26.25" customHeight="1">
      <c r="A9" s="679">
        <v>3.0</v>
      </c>
      <c r="B9" s="717" t="s">
        <v>24</v>
      </c>
      <c r="C9" s="703" t="s">
        <v>848</v>
      </c>
      <c r="D9" s="704" t="s">
        <v>846</v>
      </c>
      <c r="E9" s="705">
        <v>4.0</v>
      </c>
      <c r="F9" s="706">
        <v>29.0</v>
      </c>
      <c r="G9" s="707">
        <v>59.0</v>
      </c>
      <c r="H9" s="706">
        <v>0.0</v>
      </c>
      <c r="I9" s="708">
        <v>0.0</v>
      </c>
      <c r="J9" s="706">
        <v>1.0</v>
      </c>
      <c r="K9" s="708">
        <v>3.0</v>
      </c>
      <c r="L9" s="709">
        <v>1.0</v>
      </c>
      <c r="M9" s="710">
        <v>2.0</v>
      </c>
      <c r="N9" s="709">
        <v>0.0</v>
      </c>
      <c r="O9" s="711">
        <v>1.0</v>
      </c>
      <c r="P9" s="712">
        <v>0.0</v>
      </c>
      <c r="Q9" s="713">
        <v>2.0</v>
      </c>
      <c r="R9" s="712">
        <v>0.0</v>
      </c>
      <c r="S9" s="713">
        <v>2.0</v>
      </c>
      <c r="T9" s="712">
        <v>0.0</v>
      </c>
      <c r="U9" s="713">
        <v>2.0</v>
      </c>
      <c r="V9" s="714"/>
      <c r="W9" s="715"/>
      <c r="X9" s="714"/>
      <c r="Y9" s="715"/>
      <c r="Z9" s="714"/>
      <c r="AA9" s="715"/>
      <c r="AB9" s="714"/>
      <c r="AC9" s="715"/>
      <c r="AD9" s="714"/>
      <c r="AE9" s="715"/>
      <c r="AF9" s="665"/>
      <c r="AG9" s="696">
        <f t="shared" ref="AG9:AH9" si="5">F9+H9+J9+L9+N9+P9+R9+T9+V9+X9+Z9+AB9+AD9</f>
        <v>31</v>
      </c>
      <c r="AH9" s="697">
        <f t="shared" si="5"/>
        <v>71</v>
      </c>
      <c r="AI9" s="698">
        <f t="shared" ref="AI9:AJ9" si="6">J9+H9+L9+N9+P9+R9+T9+V9+X9+Z9+AB9+AD9</f>
        <v>2</v>
      </c>
      <c r="AJ9" s="699">
        <f t="shared" si="6"/>
        <v>12</v>
      </c>
      <c r="AK9" s="541"/>
      <c r="AL9" s="541"/>
      <c r="AM9" s="716" t="s">
        <v>849</v>
      </c>
    </row>
    <row r="10" ht="26.25" customHeight="1">
      <c r="A10" s="701">
        <v>4.0</v>
      </c>
      <c r="B10" s="717" t="s">
        <v>66</v>
      </c>
      <c r="C10" s="703" t="s">
        <v>850</v>
      </c>
      <c r="D10" s="704" t="s">
        <v>851</v>
      </c>
      <c r="E10" s="705">
        <v>4.0</v>
      </c>
      <c r="F10" s="706">
        <v>16.0</v>
      </c>
      <c r="G10" s="707">
        <v>37.0</v>
      </c>
      <c r="H10" s="706">
        <v>0.0</v>
      </c>
      <c r="I10" s="708">
        <v>0.0</v>
      </c>
      <c r="J10" s="706">
        <v>0.0</v>
      </c>
      <c r="K10" s="708">
        <v>3.0</v>
      </c>
      <c r="L10" s="709">
        <v>1.0</v>
      </c>
      <c r="M10" s="710">
        <v>4.0</v>
      </c>
      <c r="N10" s="709">
        <v>0.0</v>
      </c>
      <c r="O10" s="711">
        <v>1.0</v>
      </c>
      <c r="P10" s="712">
        <v>0.0</v>
      </c>
      <c r="Q10" s="713">
        <v>3.0</v>
      </c>
      <c r="R10" s="712">
        <v>0.0</v>
      </c>
      <c r="S10" s="713">
        <v>2.0</v>
      </c>
      <c r="T10" s="712">
        <v>0.0</v>
      </c>
      <c r="U10" s="713">
        <v>0.0</v>
      </c>
      <c r="V10" s="714"/>
      <c r="W10" s="715"/>
      <c r="X10" s="714"/>
      <c r="Y10" s="715"/>
      <c r="Z10" s="714"/>
      <c r="AA10" s="715"/>
      <c r="AB10" s="714"/>
      <c r="AC10" s="715"/>
      <c r="AD10" s="714"/>
      <c r="AE10" s="715"/>
      <c r="AF10" s="665"/>
      <c r="AG10" s="696">
        <f t="shared" ref="AG10:AH10" si="7">F10+H10+J10+L10+N10+P10+R10+T10+V10+X10+Z10+AB10+AD10</f>
        <v>17</v>
      </c>
      <c r="AH10" s="697">
        <f t="shared" si="7"/>
        <v>50</v>
      </c>
      <c r="AI10" s="698">
        <f t="shared" ref="AI10:AJ10" si="8">J10+H10+L10+N10+P10+R10+T10+V10+X10+Z10+AB10+AD10</f>
        <v>1</v>
      </c>
      <c r="AJ10" s="699">
        <f t="shared" si="8"/>
        <v>13</v>
      </c>
      <c r="AK10" s="541"/>
      <c r="AL10" s="541"/>
      <c r="AM10" s="716" t="s">
        <v>852</v>
      </c>
    </row>
    <row r="11" ht="26.25" customHeight="1">
      <c r="A11" s="679">
        <v>5.0</v>
      </c>
      <c r="B11" s="717" t="s">
        <v>67</v>
      </c>
      <c r="C11" s="703" t="s">
        <v>853</v>
      </c>
      <c r="D11" s="704" t="s">
        <v>854</v>
      </c>
      <c r="E11" s="705">
        <v>4.0</v>
      </c>
      <c r="F11" s="706">
        <v>22.0</v>
      </c>
      <c r="G11" s="707">
        <v>43.0</v>
      </c>
      <c r="H11" s="706">
        <v>0.0</v>
      </c>
      <c r="I11" s="708">
        <v>0.0</v>
      </c>
      <c r="J11" s="706">
        <v>0.0</v>
      </c>
      <c r="K11" s="708">
        <v>4.0</v>
      </c>
      <c r="L11" s="709">
        <v>1.0</v>
      </c>
      <c r="M11" s="710">
        <v>4.0</v>
      </c>
      <c r="N11" s="709">
        <v>0.0</v>
      </c>
      <c r="O11" s="711">
        <v>1.0</v>
      </c>
      <c r="P11" s="712">
        <v>0.0</v>
      </c>
      <c r="Q11" s="713">
        <v>4.0</v>
      </c>
      <c r="R11" s="712">
        <v>0.0</v>
      </c>
      <c r="S11" s="713">
        <v>2.0</v>
      </c>
      <c r="T11" s="712">
        <v>0.0</v>
      </c>
      <c r="U11" s="713">
        <v>0.0</v>
      </c>
      <c r="V11" s="714"/>
      <c r="W11" s="715"/>
      <c r="X11" s="714"/>
      <c r="Y11" s="715"/>
      <c r="Z11" s="714"/>
      <c r="AA11" s="715"/>
      <c r="AB11" s="714"/>
      <c r="AC11" s="715"/>
      <c r="AD11" s="714"/>
      <c r="AE11" s="715"/>
      <c r="AF11" s="665"/>
      <c r="AG11" s="696">
        <f t="shared" ref="AG11:AH11" si="9">F11+H11+J11+L11+N11+P11+R11+T11+V11+X11+Z11+AB11+AD11</f>
        <v>23</v>
      </c>
      <c r="AH11" s="697">
        <f t="shared" si="9"/>
        <v>58</v>
      </c>
      <c r="AI11" s="698">
        <f t="shared" ref="AI11:AJ11" si="10">J11+H11+L11+N11+P11+R11+T11+V11+X11+Z11+AB11+AD11</f>
        <v>1</v>
      </c>
      <c r="AJ11" s="699">
        <f t="shared" si="10"/>
        <v>15</v>
      </c>
      <c r="AK11" s="541"/>
      <c r="AL11" s="541"/>
      <c r="AM11" s="716" t="s">
        <v>855</v>
      </c>
    </row>
    <row r="12" ht="26.25" customHeight="1">
      <c r="A12" s="701">
        <v>6.0</v>
      </c>
      <c r="B12" s="717" t="s">
        <v>68</v>
      </c>
      <c r="C12" s="703" t="s">
        <v>856</v>
      </c>
      <c r="D12" s="704" t="s">
        <v>846</v>
      </c>
      <c r="E12" s="705">
        <v>7.0</v>
      </c>
      <c r="F12" s="706">
        <v>35.0</v>
      </c>
      <c r="G12" s="707">
        <v>93.0</v>
      </c>
      <c r="H12" s="706">
        <v>0.0</v>
      </c>
      <c r="I12" s="708">
        <v>0.0</v>
      </c>
      <c r="J12" s="706">
        <v>0.0</v>
      </c>
      <c r="K12" s="708">
        <v>5.0</v>
      </c>
      <c r="L12" s="709">
        <v>1.0</v>
      </c>
      <c r="M12" s="710">
        <v>6.0</v>
      </c>
      <c r="N12" s="709">
        <v>0.0</v>
      </c>
      <c r="O12" s="711">
        <v>3.0</v>
      </c>
      <c r="P12" s="712">
        <v>0.0</v>
      </c>
      <c r="Q12" s="713">
        <v>4.0</v>
      </c>
      <c r="R12" s="712">
        <v>0.0</v>
      </c>
      <c r="S12" s="713">
        <v>4.0</v>
      </c>
      <c r="T12" s="712">
        <v>0.0</v>
      </c>
      <c r="U12" s="713">
        <v>4.0</v>
      </c>
      <c r="V12" s="714"/>
      <c r="W12" s="715"/>
      <c r="X12" s="714"/>
      <c r="Y12" s="715"/>
      <c r="Z12" s="714"/>
      <c r="AA12" s="715"/>
      <c r="AB12" s="714"/>
      <c r="AC12" s="715"/>
      <c r="AD12" s="714"/>
      <c r="AE12" s="715"/>
      <c r="AF12" s="665"/>
      <c r="AG12" s="696">
        <f t="shared" ref="AG12:AH12" si="11">F12+H12+J12+L12+N12+P12+R12+T12+V12+X12+Z12+AB12+AD12</f>
        <v>36</v>
      </c>
      <c r="AH12" s="697">
        <f t="shared" si="11"/>
        <v>119</v>
      </c>
      <c r="AI12" s="698">
        <f t="shared" ref="AI12:AJ12" si="12">J12+H12+L12+N12+P12+R12+T12+V12+X12+Z12+AB12+AD12</f>
        <v>1</v>
      </c>
      <c r="AJ12" s="699">
        <f t="shared" si="12"/>
        <v>26</v>
      </c>
      <c r="AK12" s="541"/>
      <c r="AL12" s="541"/>
      <c r="AM12" s="716" t="s">
        <v>849</v>
      </c>
    </row>
    <row r="13" ht="26.25" customHeight="1">
      <c r="A13" s="679">
        <v>7.0</v>
      </c>
      <c r="B13" s="717" t="s">
        <v>69</v>
      </c>
      <c r="C13" s="703" t="s">
        <v>857</v>
      </c>
      <c r="D13" s="704" t="s">
        <v>858</v>
      </c>
      <c r="E13" s="705">
        <v>4.0</v>
      </c>
      <c r="F13" s="706">
        <v>24.0</v>
      </c>
      <c r="G13" s="707">
        <v>35.0</v>
      </c>
      <c r="H13" s="706">
        <v>0.0</v>
      </c>
      <c r="I13" s="708">
        <v>0.0</v>
      </c>
      <c r="J13" s="687">
        <v>0.0</v>
      </c>
      <c r="K13" s="688">
        <v>4.0</v>
      </c>
      <c r="L13" s="709">
        <v>1.0</v>
      </c>
      <c r="M13" s="710">
        <v>2.0</v>
      </c>
      <c r="N13" s="709">
        <v>0.0</v>
      </c>
      <c r="O13" s="711">
        <v>1.0</v>
      </c>
      <c r="P13" s="712">
        <v>0.0</v>
      </c>
      <c r="Q13" s="713">
        <v>1.0</v>
      </c>
      <c r="R13" s="712">
        <v>0.0</v>
      </c>
      <c r="S13" s="713">
        <v>3.0</v>
      </c>
      <c r="T13" s="712">
        <v>0.0</v>
      </c>
      <c r="U13" s="713">
        <v>2.0</v>
      </c>
      <c r="V13" s="714"/>
      <c r="W13" s="715"/>
      <c r="X13" s="714"/>
      <c r="Y13" s="715"/>
      <c r="Z13" s="714"/>
      <c r="AA13" s="715"/>
      <c r="AB13" s="714"/>
      <c r="AC13" s="715"/>
      <c r="AD13" s="714"/>
      <c r="AE13" s="715"/>
      <c r="AF13" s="665"/>
      <c r="AG13" s="696">
        <f t="shared" ref="AG13:AH13" si="13">F13+H13+J13+L13+N13+P13+R13+T13+V13+X13+Z13+AB13+AD13</f>
        <v>25</v>
      </c>
      <c r="AH13" s="697">
        <f t="shared" si="13"/>
        <v>48</v>
      </c>
      <c r="AI13" s="698">
        <f t="shared" ref="AI13:AJ13" si="14">J13+H13+L13+N13+P13+R13+T13+V13+X13+Z13+AB13+AD13</f>
        <v>1</v>
      </c>
      <c r="AJ13" s="699">
        <f t="shared" si="14"/>
        <v>13</v>
      </c>
      <c r="AK13" s="541"/>
      <c r="AL13" s="541"/>
      <c r="AM13" s="716" t="s">
        <v>849</v>
      </c>
    </row>
    <row r="14" ht="26.25" customHeight="1">
      <c r="A14" s="701">
        <v>8.0</v>
      </c>
      <c r="B14" s="717" t="s">
        <v>70</v>
      </c>
      <c r="C14" s="703" t="s">
        <v>859</v>
      </c>
      <c r="D14" s="704" t="s">
        <v>846</v>
      </c>
      <c r="E14" s="705">
        <v>5.0</v>
      </c>
      <c r="F14" s="706">
        <v>23.0</v>
      </c>
      <c r="G14" s="707">
        <v>60.0</v>
      </c>
      <c r="H14" s="706">
        <v>0.0</v>
      </c>
      <c r="I14" s="708">
        <v>0.0</v>
      </c>
      <c r="J14" s="706">
        <v>0.0</v>
      </c>
      <c r="K14" s="708">
        <v>3.0</v>
      </c>
      <c r="L14" s="709">
        <v>1.0</v>
      </c>
      <c r="M14" s="710">
        <v>3.0</v>
      </c>
      <c r="N14" s="709">
        <v>0.0</v>
      </c>
      <c r="O14" s="711">
        <v>1.0</v>
      </c>
      <c r="P14" s="712">
        <v>0.0</v>
      </c>
      <c r="Q14" s="713">
        <v>2.0</v>
      </c>
      <c r="R14" s="712">
        <v>0.0</v>
      </c>
      <c r="S14" s="713">
        <v>3.0</v>
      </c>
      <c r="T14" s="712">
        <v>0.0</v>
      </c>
      <c r="U14" s="713">
        <v>1.0</v>
      </c>
      <c r="V14" s="714"/>
      <c r="W14" s="715"/>
      <c r="X14" s="714"/>
      <c r="Y14" s="715"/>
      <c r="Z14" s="714"/>
      <c r="AA14" s="715"/>
      <c r="AB14" s="714"/>
      <c r="AC14" s="715"/>
      <c r="AD14" s="714"/>
      <c r="AE14" s="715"/>
      <c r="AF14" s="665"/>
      <c r="AG14" s="696">
        <f t="shared" ref="AG14:AH14" si="15">F14+H14+J14+L14+N14+P14+R14+T14+V14+X14+Z14+AB14+AD14</f>
        <v>24</v>
      </c>
      <c r="AH14" s="697">
        <f t="shared" si="15"/>
        <v>73</v>
      </c>
      <c r="AI14" s="698">
        <f t="shared" ref="AI14:AJ14" si="16">J14+H14+L14+N14+P14+R14+T14+V14+X14+Z14+AB14+AD14</f>
        <v>1</v>
      </c>
      <c r="AJ14" s="699">
        <f t="shared" si="16"/>
        <v>13</v>
      </c>
      <c r="AK14" s="541"/>
      <c r="AL14" s="541"/>
      <c r="AM14" s="700" t="s">
        <v>844</v>
      </c>
    </row>
    <row r="15" ht="26.25" customHeight="1">
      <c r="A15" s="679">
        <v>9.0</v>
      </c>
      <c r="B15" s="717" t="s">
        <v>153</v>
      </c>
      <c r="C15" s="703" t="s">
        <v>860</v>
      </c>
      <c r="D15" s="704" t="s">
        <v>861</v>
      </c>
      <c r="E15" s="705">
        <v>4.0</v>
      </c>
      <c r="F15" s="706">
        <v>6.0</v>
      </c>
      <c r="G15" s="707">
        <v>82.0</v>
      </c>
      <c r="H15" s="706">
        <v>0.0</v>
      </c>
      <c r="I15" s="708">
        <v>0.0</v>
      </c>
      <c r="J15" s="706">
        <v>0.0</v>
      </c>
      <c r="K15" s="708">
        <v>0.0</v>
      </c>
      <c r="L15" s="709">
        <v>0.0</v>
      </c>
      <c r="M15" s="710">
        <v>3.0</v>
      </c>
      <c r="N15" s="709">
        <v>0.0</v>
      </c>
      <c r="O15" s="711">
        <v>1.0</v>
      </c>
      <c r="P15" s="712">
        <v>0.0</v>
      </c>
      <c r="Q15" s="713">
        <v>0.0</v>
      </c>
      <c r="R15" s="712">
        <v>0.0</v>
      </c>
      <c r="S15" s="713">
        <v>1.0</v>
      </c>
      <c r="T15" s="712">
        <v>0.0</v>
      </c>
      <c r="U15" s="713">
        <v>3.0</v>
      </c>
      <c r="V15" s="714"/>
      <c r="W15" s="715"/>
      <c r="X15" s="714"/>
      <c r="Y15" s="715"/>
      <c r="Z15" s="714"/>
      <c r="AA15" s="715"/>
      <c r="AB15" s="714"/>
      <c r="AC15" s="715"/>
      <c r="AD15" s="714"/>
      <c r="AE15" s="715"/>
      <c r="AF15" s="665"/>
      <c r="AG15" s="696">
        <f t="shared" ref="AG15:AH15" si="17">F15+H15+J15+L15+N15+P15+R15+T15+V15+X15+Z15+AB15+AD15</f>
        <v>6</v>
      </c>
      <c r="AH15" s="697">
        <f t="shared" si="17"/>
        <v>90</v>
      </c>
      <c r="AI15" s="698">
        <f t="shared" ref="AI15:AJ15" si="18">J15+H15+L15+N15+P15+R15+T15+V15+X15+Z15+AB15+AD15</f>
        <v>0</v>
      </c>
      <c r="AJ15" s="699">
        <f t="shared" si="18"/>
        <v>8</v>
      </c>
      <c r="AK15" s="541"/>
      <c r="AL15" s="541"/>
      <c r="AM15" s="716" t="s">
        <v>852</v>
      </c>
    </row>
    <row r="16" ht="26.25" customHeight="1">
      <c r="A16" s="701">
        <v>10.0</v>
      </c>
      <c r="B16" s="717" t="s">
        <v>190</v>
      </c>
      <c r="C16" s="703" t="s">
        <v>862</v>
      </c>
      <c r="D16" s="704" t="s">
        <v>861</v>
      </c>
      <c r="E16" s="705">
        <v>1.0</v>
      </c>
      <c r="F16" s="706">
        <v>4.0</v>
      </c>
      <c r="G16" s="707">
        <v>9.0</v>
      </c>
      <c r="H16" s="706">
        <v>0.0</v>
      </c>
      <c r="I16" s="708">
        <v>0.0</v>
      </c>
      <c r="J16" s="706">
        <v>0.0</v>
      </c>
      <c r="K16" s="708">
        <v>0.0</v>
      </c>
      <c r="L16" s="709">
        <v>0.0</v>
      </c>
      <c r="M16" s="710">
        <v>0.0</v>
      </c>
      <c r="N16" s="709">
        <v>0.0</v>
      </c>
      <c r="O16" s="711">
        <v>1.0</v>
      </c>
      <c r="P16" s="712">
        <v>0.0</v>
      </c>
      <c r="Q16" s="713">
        <v>0.0</v>
      </c>
      <c r="R16" s="712">
        <v>0.0</v>
      </c>
      <c r="S16" s="713">
        <v>0.0</v>
      </c>
      <c r="T16" s="712">
        <v>0.0</v>
      </c>
      <c r="U16" s="713">
        <v>0.0</v>
      </c>
      <c r="V16" s="714"/>
      <c r="W16" s="715"/>
      <c r="X16" s="714"/>
      <c r="Y16" s="715"/>
      <c r="Z16" s="714"/>
      <c r="AA16" s="715"/>
      <c r="AB16" s="714"/>
      <c r="AC16" s="715"/>
      <c r="AD16" s="714"/>
      <c r="AE16" s="715"/>
      <c r="AF16" s="665"/>
      <c r="AG16" s="696">
        <f t="shared" ref="AG16:AH16" si="19">F16+H16+J16+L16+N16+P16+R16+T16+V16+X16+Z16+AB16+AD16</f>
        <v>4</v>
      </c>
      <c r="AH16" s="697">
        <f t="shared" si="19"/>
        <v>10</v>
      </c>
      <c r="AI16" s="698">
        <f t="shared" ref="AI16:AJ16" si="20">J16+H16+L16+N16+P16+R16+T16+V16+X16+Z16+AB16+AD16</f>
        <v>0</v>
      </c>
      <c r="AJ16" s="699">
        <f t="shared" si="20"/>
        <v>1</v>
      </c>
      <c r="AK16" s="541"/>
      <c r="AL16" s="541"/>
      <c r="AM16" s="716" t="s">
        <v>852</v>
      </c>
    </row>
    <row r="17" ht="26.25" customHeight="1">
      <c r="A17" s="679">
        <v>11.0</v>
      </c>
      <c r="B17" s="717" t="s">
        <v>348</v>
      </c>
      <c r="C17" s="703" t="s">
        <v>863</v>
      </c>
      <c r="D17" s="704" t="s">
        <v>864</v>
      </c>
      <c r="E17" s="705">
        <v>3.0</v>
      </c>
      <c r="F17" s="706">
        <v>7.0</v>
      </c>
      <c r="G17" s="707">
        <v>66.0</v>
      </c>
      <c r="H17" s="706">
        <v>0.0</v>
      </c>
      <c r="I17" s="708">
        <v>0.0</v>
      </c>
      <c r="J17" s="706">
        <v>0.0</v>
      </c>
      <c r="K17" s="708">
        <v>2.0</v>
      </c>
      <c r="L17" s="709">
        <v>0.0</v>
      </c>
      <c r="M17" s="710">
        <v>5.0</v>
      </c>
      <c r="N17" s="709">
        <v>0.0</v>
      </c>
      <c r="O17" s="711">
        <v>0.0</v>
      </c>
      <c r="P17" s="712">
        <v>0.0</v>
      </c>
      <c r="Q17" s="713">
        <v>6.0</v>
      </c>
      <c r="R17" s="712">
        <v>0.0</v>
      </c>
      <c r="S17" s="713">
        <v>3.0</v>
      </c>
      <c r="T17" s="712">
        <v>0.0</v>
      </c>
      <c r="U17" s="713">
        <v>4.0</v>
      </c>
      <c r="V17" s="714"/>
      <c r="W17" s="715"/>
      <c r="X17" s="714"/>
      <c r="Y17" s="715"/>
      <c r="Z17" s="714"/>
      <c r="AA17" s="715"/>
      <c r="AB17" s="714"/>
      <c r="AC17" s="715"/>
      <c r="AD17" s="714"/>
      <c r="AE17" s="715"/>
      <c r="AF17" s="665"/>
      <c r="AG17" s="696">
        <f t="shared" ref="AG17:AH17" si="21">F17+H17+J17+L17+N17+P17+R17+T17+V17+X17+Z17+AB17+AD17</f>
        <v>7</v>
      </c>
      <c r="AH17" s="697">
        <f t="shared" si="21"/>
        <v>86</v>
      </c>
      <c r="AI17" s="698">
        <f t="shared" ref="AI17:AJ17" si="22">J17+H17+L17+N17+P17+R17+T17+V17+X17+Z17+AB17+AD17</f>
        <v>0</v>
      </c>
      <c r="AJ17" s="699">
        <f t="shared" si="22"/>
        <v>20</v>
      </c>
      <c r="AK17" s="541"/>
      <c r="AL17" s="541"/>
      <c r="AM17" s="700" t="s">
        <v>844</v>
      </c>
    </row>
    <row r="18" ht="26.25" customHeight="1">
      <c r="A18" s="701">
        <v>12.0</v>
      </c>
      <c r="B18" s="718" t="s">
        <v>329</v>
      </c>
      <c r="C18" s="703" t="s">
        <v>865</v>
      </c>
      <c r="D18" s="704" t="s">
        <v>866</v>
      </c>
      <c r="E18" s="705">
        <v>1.0</v>
      </c>
      <c r="F18" s="706">
        <v>2.0</v>
      </c>
      <c r="G18" s="707">
        <v>1.0</v>
      </c>
      <c r="H18" s="706">
        <v>0.0</v>
      </c>
      <c r="I18" s="708">
        <v>0.0</v>
      </c>
      <c r="J18" s="706">
        <v>0.0</v>
      </c>
      <c r="K18" s="708">
        <v>0.0</v>
      </c>
      <c r="L18" s="709">
        <v>0.0</v>
      </c>
      <c r="M18" s="710">
        <v>0.0</v>
      </c>
      <c r="N18" s="709">
        <v>0.0</v>
      </c>
      <c r="O18" s="711">
        <v>0.0</v>
      </c>
      <c r="P18" s="712">
        <v>0.0</v>
      </c>
      <c r="Q18" s="713">
        <v>1.0</v>
      </c>
      <c r="R18" s="712">
        <v>0.0</v>
      </c>
      <c r="S18" s="713">
        <v>1.0</v>
      </c>
      <c r="T18" s="712">
        <v>0.0</v>
      </c>
      <c r="U18" s="713">
        <v>0.0</v>
      </c>
      <c r="V18" s="714"/>
      <c r="W18" s="715"/>
      <c r="X18" s="714"/>
      <c r="Y18" s="715"/>
      <c r="Z18" s="714"/>
      <c r="AA18" s="715"/>
      <c r="AB18" s="714"/>
      <c r="AC18" s="715"/>
      <c r="AD18" s="714"/>
      <c r="AE18" s="715"/>
      <c r="AF18" s="665"/>
      <c r="AG18" s="696">
        <f t="shared" ref="AG18:AH18" si="23">F18+H18+J18+L18+N18+P18+R18+T18+V18+X18+Z18+AB18+AD18</f>
        <v>2</v>
      </c>
      <c r="AH18" s="697">
        <f t="shared" si="23"/>
        <v>3</v>
      </c>
      <c r="AI18" s="698">
        <f t="shared" ref="AI18:AJ18" si="24">J18+H18+L18+N18+P18+R18+T18+V18+X18+Z18+AB18+AD18</f>
        <v>0</v>
      </c>
      <c r="AJ18" s="699">
        <f t="shared" si="24"/>
        <v>2</v>
      </c>
      <c r="AK18" s="541"/>
      <c r="AL18" s="541"/>
      <c r="AM18" s="700" t="s">
        <v>867</v>
      </c>
    </row>
    <row r="19" ht="26.25" customHeight="1">
      <c r="A19" s="679">
        <v>13.0</v>
      </c>
      <c r="B19" s="717" t="s">
        <v>282</v>
      </c>
      <c r="C19" s="703" t="s">
        <v>868</v>
      </c>
      <c r="D19" s="704" t="s">
        <v>854</v>
      </c>
      <c r="E19" s="705">
        <v>5.0</v>
      </c>
      <c r="F19" s="706">
        <v>17.0</v>
      </c>
      <c r="G19" s="707">
        <v>88.0</v>
      </c>
      <c r="H19" s="706">
        <v>0.0</v>
      </c>
      <c r="I19" s="708">
        <v>0.0</v>
      </c>
      <c r="J19" s="706">
        <v>0.0</v>
      </c>
      <c r="K19" s="708">
        <v>2.0</v>
      </c>
      <c r="L19" s="709">
        <v>0.0</v>
      </c>
      <c r="M19" s="710">
        <v>0.0</v>
      </c>
      <c r="N19" s="709">
        <v>0.0</v>
      </c>
      <c r="O19" s="711">
        <v>1.0</v>
      </c>
      <c r="P19" s="712">
        <v>0.0</v>
      </c>
      <c r="Q19" s="713">
        <v>2.0</v>
      </c>
      <c r="R19" s="712">
        <v>0.0</v>
      </c>
      <c r="S19" s="713">
        <v>3.0</v>
      </c>
      <c r="T19" s="712">
        <v>0.0</v>
      </c>
      <c r="U19" s="713">
        <v>2.0</v>
      </c>
      <c r="V19" s="714"/>
      <c r="W19" s="715"/>
      <c r="X19" s="714"/>
      <c r="Y19" s="715"/>
      <c r="Z19" s="714"/>
      <c r="AA19" s="715"/>
      <c r="AB19" s="714"/>
      <c r="AC19" s="715"/>
      <c r="AD19" s="714"/>
      <c r="AE19" s="715"/>
      <c r="AF19" s="665"/>
      <c r="AG19" s="696">
        <f t="shared" ref="AG19:AH19" si="25">F19+H19+J19+L19+N19+P19+R19+T19+V19+X19+Z19+AB19+AD19</f>
        <v>17</v>
      </c>
      <c r="AH19" s="697">
        <f t="shared" si="25"/>
        <v>98</v>
      </c>
      <c r="AI19" s="698">
        <f t="shared" ref="AI19:AJ19" si="26">J19+H19+L19+N19+P19+R19+T19+V19+X19+Z19+AB19+AD19</f>
        <v>0</v>
      </c>
      <c r="AJ19" s="699">
        <f t="shared" si="26"/>
        <v>10</v>
      </c>
      <c r="AK19" s="541"/>
      <c r="AL19" s="541"/>
      <c r="AM19" s="716" t="s">
        <v>849</v>
      </c>
    </row>
    <row r="20" ht="26.25" customHeight="1">
      <c r="A20" s="701">
        <v>14.0</v>
      </c>
      <c r="B20" s="717" t="s">
        <v>76</v>
      </c>
      <c r="C20" s="703" t="s">
        <v>869</v>
      </c>
      <c r="D20" s="704" t="s">
        <v>854</v>
      </c>
      <c r="E20" s="719">
        <v>3.0</v>
      </c>
      <c r="F20" s="720">
        <v>5.0</v>
      </c>
      <c r="G20" s="721">
        <v>14.0</v>
      </c>
      <c r="H20" s="720">
        <v>0.0</v>
      </c>
      <c r="I20" s="722">
        <v>0.0</v>
      </c>
      <c r="J20" s="687">
        <v>0.0</v>
      </c>
      <c r="K20" s="688">
        <v>1.0</v>
      </c>
      <c r="L20" s="709">
        <v>1.0</v>
      </c>
      <c r="M20" s="710">
        <v>1.0</v>
      </c>
      <c r="N20" s="709">
        <v>0.0</v>
      </c>
      <c r="O20" s="711">
        <v>1.0</v>
      </c>
      <c r="P20" s="723">
        <v>0.0</v>
      </c>
      <c r="Q20" s="724">
        <v>3.0</v>
      </c>
      <c r="R20" s="725">
        <v>0.0</v>
      </c>
      <c r="S20" s="726">
        <v>1.0</v>
      </c>
      <c r="T20" s="723">
        <v>0.0</v>
      </c>
      <c r="U20" s="724">
        <v>1.0</v>
      </c>
      <c r="V20" s="727"/>
      <c r="W20" s="728"/>
      <c r="X20" s="727"/>
      <c r="Y20" s="728"/>
      <c r="Z20" s="727"/>
      <c r="AA20" s="728"/>
      <c r="AB20" s="727"/>
      <c r="AC20" s="728"/>
      <c r="AD20" s="727"/>
      <c r="AE20" s="728"/>
      <c r="AF20" s="665"/>
      <c r="AG20" s="696">
        <f t="shared" ref="AG20:AH20" si="27">F20+H20+J20+L20+N20+P20+R20+T20+V20+X20+Z20+AB20+AD20</f>
        <v>6</v>
      </c>
      <c r="AH20" s="697">
        <f t="shared" si="27"/>
        <v>22</v>
      </c>
      <c r="AI20" s="698">
        <f t="shared" ref="AI20:AJ20" si="28">J20+H20+L20+N20+P20+R20+T20+V20+X20+Z20+AB20+AD20</f>
        <v>1</v>
      </c>
      <c r="AJ20" s="699">
        <f t="shared" si="28"/>
        <v>8</v>
      </c>
      <c r="AK20" s="541"/>
      <c r="AL20" s="541"/>
      <c r="AM20" s="700" t="s">
        <v>844</v>
      </c>
    </row>
    <row r="21" ht="26.25" customHeight="1">
      <c r="A21" s="679">
        <v>15.0</v>
      </c>
      <c r="B21" s="702" t="s">
        <v>299</v>
      </c>
      <c r="C21" s="703" t="s">
        <v>870</v>
      </c>
      <c r="D21" s="704" t="s">
        <v>864</v>
      </c>
      <c r="E21" s="705">
        <v>4.0</v>
      </c>
      <c r="F21" s="706">
        <v>17.0</v>
      </c>
      <c r="G21" s="707">
        <v>28.0</v>
      </c>
      <c r="H21" s="706">
        <v>0.0</v>
      </c>
      <c r="I21" s="708">
        <v>0.0</v>
      </c>
      <c r="J21" s="706">
        <v>0.0</v>
      </c>
      <c r="K21" s="708">
        <v>2.0</v>
      </c>
      <c r="L21" s="709">
        <v>0.0</v>
      </c>
      <c r="M21" s="710">
        <v>3.0</v>
      </c>
      <c r="N21" s="709">
        <v>0.0</v>
      </c>
      <c r="O21" s="711">
        <v>3.0</v>
      </c>
      <c r="P21" s="712">
        <v>0.0</v>
      </c>
      <c r="Q21" s="713">
        <v>3.0</v>
      </c>
      <c r="R21" s="712">
        <v>0.0</v>
      </c>
      <c r="S21" s="713">
        <v>0.0</v>
      </c>
      <c r="T21" s="712">
        <v>1.0</v>
      </c>
      <c r="U21" s="713">
        <v>1.0</v>
      </c>
      <c r="V21" s="714"/>
      <c r="W21" s="715"/>
      <c r="X21" s="714"/>
      <c r="Y21" s="715"/>
      <c r="Z21" s="714"/>
      <c r="AA21" s="715"/>
      <c r="AB21" s="714"/>
      <c r="AC21" s="715"/>
      <c r="AD21" s="714"/>
      <c r="AE21" s="715"/>
      <c r="AF21" s="665"/>
      <c r="AG21" s="696">
        <f t="shared" ref="AG21:AH21" si="29">F21+H21+J21+L21+N21+P21+R21+T21+V21+X21+Z21+AB21+AD21</f>
        <v>18</v>
      </c>
      <c r="AH21" s="697">
        <f t="shared" si="29"/>
        <v>40</v>
      </c>
      <c r="AI21" s="698">
        <f t="shared" ref="AI21:AJ21" si="30">J21+H21+L21+N21+P21+R21+T21+V21+X21+Z21+AB21+AD21</f>
        <v>1</v>
      </c>
      <c r="AJ21" s="699">
        <f t="shared" si="30"/>
        <v>12</v>
      </c>
      <c r="AK21" s="541"/>
      <c r="AL21" s="541"/>
      <c r="AM21" s="700" t="s">
        <v>867</v>
      </c>
    </row>
    <row r="22" ht="26.25" customHeight="1">
      <c r="A22" s="701">
        <v>16.0</v>
      </c>
      <c r="B22" s="717" t="s">
        <v>544</v>
      </c>
      <c r="C22" s="703" t="s">
        <v>871</v>
      </c>
      <c r="D22" s="704" t="s">
        <v>846</v>
      </c>
      <c r="E22" s="705">
        <v>3.0</v>
      </c>
      <c r="F22" s="706">
        <v>17.0</v>
      </c>
      <c r="G22" s="707">
        <v>30.0</v>
      </c>
      <c r="H22" s="706">
        <v>0.0</v>
      </c>
      <c r="I22" s="708">
        <v>0.0</v>
      </c>
      <c r="J22" s="706">
        <v>0.0</v>
      </c>
      <c r="K22" s="708">
        <v>2.0</v>
      </c>
      <c r="L22" s="709">
        <v>0.0</v>
      </c>
      <c r="M22" s="710">
        <v>0.0</v>
      </c>
      <c r="N22" s="709">
        <v>0.0</v>
      </c>
      <c r="O22" s="711">
        <v>1.0</v>
      </c>
      <c r="P22" s="712">
        <v>0.0</v>
      </c>
      <c r="Q22" s="713">
        <v>1.0</v>
      </c>
      <c r="R22" s="712">
        <v>0.0</v>
      </c>
      <c r="S22" s="713">
        <v>3.0</v>
      </c>
      <c r="T22" s="712">
        <v>0.0</v>
      </c>
      <c r="U22" s="713">
        <v>2.0</v>
      </c>
      <c r="V22" s="714"/>
      <c r="W22" s="715"/>
      <c r="X22" s="714"/>
      <c r="Y22" s="715"/>
      <c r="Z22" s="714"/>
      <c r="AA22" s="715"/>
      <c r="AB22" s="714"/>
      <c r="AC22" s="715"/>
      <c r="AD22" s="714"/>
      <c r="AE22" s="715"/>
      <c r="AF22" s="665"/>
      <c r="AG22" s="696">
        <f t="shared" ref="AG22:AH22" si="31">F22+H22+J22+L22+N22+P22+R22+T22+V22+X22+Z22+AB22+AD22</f>
        <v>17</v>
      </c>
      <c r="AH22" s="697">
        <f t="shared" si="31"/>
        <v>39</v>
      </c>
      <c r="AI22" s="698">
        <f t="shared" ref="AI22:AJ22" si="32">J22+H22+L22+N22+P22+R22+T22+V22+X22+Z22+AB22+AD22</f>
        <v>0</v>
      </c>
      <c r="AJ22" s="699">
        <f t="shared" si="32"/>
        <v>9</v>
      </c>
      <c r="AK22" s="541"/>
      <c r="AL22" s="541"/>
      <c r="AM22" s="716" t="s">
        <v>849</v>
      </c>
    </row>
    <row r="23" ht="26.25" customHeight="1">
      <c r="A23" s="679">
        <v>17.0</v>
      </c>
      <c r="B23" s="717" t="s">
        <v>132</v>
      </c>
      <c r="C23" s="703" t="s">
        <v>872</v>
      </c>
      <c r="D23" s="704" t="s">
        <v>854</v>
      </c>
      <c r="E23" s="705">
        <v>5.0</v>
      </c>
      <c r="F23" s="706">
        <v>29.0</v>
      </c>
      <c r="G23" s="707">
        <v>60.0</v>
      </c>
      <c r="H23" s="706">
        <v>0.0</v>
      </c>
      <c r="I23" s="708">
        <v>0.0</v>
      </c>
      <c r="J23" s="706">
        <v>0.0</v>
      </c>
      <c r="K23" s="708">
        <v>2.0</v>
      </c>
      <c r="L23" s="709">
        <v>0.0</v>
      </c>
      <c r="M23" s="710">
        <v>3.0</v>
      </c>
      <c r="N23" s="709">
        <v>1.0</v>
      </c>
      <c r="O23" s="711">
        <v>3.0</v>
      </c>
      <c r="P23" s="712">
        <v>1.0</v>
      </c>
      <c r="Q23" s="713">
        <v>8.0</v>
      </c>
      <c r="R23" s="712">
        <v>0.0</v>
      </c>
      <c r="S23" s="713">
        <v>2.0</v>
      </c>
      <c r="T23" s="712">
        <v>0.0</v>
      </c>
      <c r="U23" s="713">
        <v>1.0</v>
      </c>
      <c r="V23" s="714"/>
      <c r="W23" s="715"/>
      <c r="X23" s="714"/>
      <c r="Y23" s="715"/>
      <c r="Z23" s="714"/>
      <c r="AA23" s="715"/>
      <c r="AB23" s="714"/>
      <c r="AC23" s="715"/>
      <c r="AD23" s="714"/>
      <c r="AE23" s="715"/>
      <c r="AF23" s="729"/>
      <c r="AG23" s="696">
        <f t="shared" ref="AG23:AH23" si="33">F23+H23+J23+L23+N23+P23+R23+T23+V23+X23+Z23+AB23+AD23</f>
        <v>31</v>
      </c>
      <c r="AH23" s="697">
        <f t="shared" si="33"/>
        <v>79</v>
      </c>
      <c r="AI23" s="698">
        <f t="shared" ref="AI23:AJ23" si="34">J23+H23+L23+N23+P23+R23+T23+V23+X23+Z23+AB23+AD23</f>
        <v>2</v>
      </c>
      <c r="AJ23" s="699">
        <f t="shared" si="34"/>
        <v>19</v>
      </c>
      <c r="AK23" s="541"/>
      <c r="AL23" s="541"/>
      <c r="AM23" s="716" t="s">
        <v>852</v>
      </c>
    </row>
    <row r="24" ht="26.25" customHeight="1">
      <c r="A24" s="701">
        <v>18.0</v>
      </c>
      <c r="B24" s="717" t="s">
        <v>279</v>
      </c>
      <c r="C24" s="703" t="s">
        <v>873</v>
      </c>
      <c r="D24" s="704" t="s">
        <v>846</v>
      </c>
      <c r="E24" s="705">
        <v>5.0</v>
      </c>
      <c r="F24" s="706">
        <v>20.0</v>
      </c>
      <c r="G24" s="707">
        <v>65.0</v>
      </c>
      <c r="H24" s="706">
        <v>0.0</v>
      </c>
      <c r="I24" s="708">
        <v>0.0</v>
      </c>
      <c r="J24" s="706">
        <v>0.0</v>
      </c>
      <c r="K24" s="708">
        <v>2.0</v>
      </c>
      <c r="L24" s="709">
        <v>0.0</v>
      </c>
      <c r="M24" s="710">
        <v>2.0</v>
      </c>
      <c r="N24" s="709">
        <v>0.0</v>
      </c>
      <c r="O24" s="711">
        <v>2.0</v>
      </c>
      <c r="P24" s="712">
        <v>0.0</v>
      </c>
      <c r="Q24" s="713">
        <v>4.0</v>
      </c>
      <c r="R24" s="712">
        <v>0.0</v>
      </c>
      <c r="S24" s="713">
        <v>4.0</v>
      </c>
      <c r="T24" s="712">
        <v>0.0</v>
      </c>
      <c r="U24" s="713">
        <v>3.0</v>
      </c>
      <c r="V24" s="714"/>
      <c r="W24" s="715"/>
      <c r="X24" s="714"/>
      <c r="Y24" s="715"/>
      <c r="Z24" s="714"/>
      <c r="AA24" s="715"/>
      <c r="AB24" s="714"/>
      <c r="AC24" s="715"/>
      <c r="AD24" s="714"/>
      <c r="AE24" s="715"/>
      <c r="AF24" s="665"/>
      <c r="AG24" s="696">
        <f t="shared" ref="AG24:AH24" si="35">F24+H24+J24+L24+N24+P24+R24+T24+V24+X24+Z24+AB24+AD24</f>
        <v>20</v>
      </c>
      <c r="AH24" s="697">
        <f t="shared" si="35"/>
        <v>82</v>
      </c>
      <c r="AI24" s="698">
        <f t="shared" ref="AI24:AJ24" si="36">J24+H24+L24+N24+P24+R24+T24+V24+X24+Z24+AB24+AD24</f>
        <v>0</v>
      </c>
      <c r="AJ24" s="699">
        <f t="shared" si="36"/>
        <v>17</v>
      </c>
      <c r="AK24" s="541"/>
      <c r="AL24" s="541"/>
      <c r="AM24" s="700" t="s">
        <v>844</v>
      </c>
    </row>
    <row r="25" ht="26.25" customHeight="1">
      <c r="A25" s="679">
        <v>19.0</v>
      </c>
      <c r="B25" s="717" t="s">
        <v>269</v>
      </c>
      <c r="C25" s="703" t="s">
        <v>874</v>
      </c>
      <c r="D25" s="704" t="s">
        <v>854</v>
      </c>
      <c r="E25" s="705">
        <v>2.0</v>
      </c>
      <c r="F25" s="706">
        <v>8.0</v>
      </c>
      <c r="G25" s="707">
        <v>15.0</v>
      </c>
      <c r="H25" s="706">
        <v>0.0</v>
      </c>
      <c r="I25" s="708">
        <v>0.0</v>
      </c>
      <c r="J25" s="706">
        <v>0.0</v>
      </c>
      <c r="K25" s="708">
        <v>1.0</v>
      </c>
      <c r="L25" s="709">
        <v>0.0</v>
      </c>
      <c r="M25" s="710">
        <v>1.0</v>
      </c>
      <c r="N25" s="709">
        <v>0.0</v>
      </c>
      <c r="O25" s="711">
        <v>2.0</v>
      </c>
      <c r="P25" s="712">
        <v>0.0</v>
      </c>
      <c r="Q25" s="713">
        <v>1.0</v>
      </c>
      <c r="R25" s="712">
        <v>0.0</v>
      </c>
      <c r="S25" s="713">
        <v>1.0</v>
      </c>
      <c r="T25" s="712">
        <v>0.0</v>
      </c>
      <c r="U25" s="713">
        <v>0.0</v>
      </c>
      <c r="V25" s="714"/>
      <c r="W25" s="715"/>
      <c r="X25" s="714"/>
      <c r="Y25" s="715"/>
      <c r="Z25" s="714"/>
      <c r="AA25" s="715"/>
      <c r="AB25" s="714"/>
      <c r="AC25" s="715"/>
      <c r="AD25" s="714"/>
      <c r="AE25" s="715"/>
      <c r="AF25" s="665"/>
      <c r="AG25" s="696">
        <f t="shared" ref="AG25:AH25" si="37">F25+H25+J25+L25+N25+P25+R25+T25+V25+X25+Z25+AB25+AD25</f>
        <v>8</v>
      </c>
      <c r="AH25" s="697">
        <f t="shared" si="37"/>
        <v>21</v>
      </c>
      <c r="AI25" s="698">
        <f t="shared" ref="AI25:AJ25" si="38">J25+H25+L25+N25+P25+R25+T25+V25+X25+Z25+AB25+AD25</f>
        <v>0</v>
      </c>
      <c r="AJ25" s="699">
        <f t="shared" si="38"/>
        <v>6</v>
      </c>
      <c r="AK25" s="541"/>
      <c r="AL25" s="541"/>
      <c r="AM25" s="700" t="s">
        <v>844</v>
      </c>
    </row>
    <row r="26" ht="26.25" customHeight="1">
      <c r="A26" s="701">
        <v>20.0</v>
      </c>
      <c r="B26" s="717" t="s">
        <v>137</v>
      </c>
      <c r="C26" s="703" t="s">
        <v>875</v>
      </c>
      <c r="D26" s="704" t="s">
        <v>846</v>
      </c>
      <c r="E26" s="705">
        <v>2.0</v>
      </c>
      <c r="F26" s="706">
        <v>12.0</v>
      </c>
      <c r="G26" s="707">
        <v>8.0</v>
      </c>
      <c r="H26" s="706">
        <v>0.0</v>
      </c>
      <c r="I26" s="708">
        <v>0.0</v>
      </c>
      <c r="J26" s="706">
        <v>0.0</v>
      </c>
      <c r="K26" s="708">
        <v>0.0</v>
      </c>
      <c r="L26" s="709">
        <v>0.0</v>
      </c>
      <c r="M26" s="710">
        <v>0.0</v>
      </c>
      <c r="N26" s="709">
        <v>1.0</v>
      </c>
      <c r="O26" s="711">
        <v>4.0</v>
      </c>
      <c r="P26" s="712">
        <v>0.0</v>
      </c>
      <c r="Q26" s="713">
        <v>3.0</v>
      </c>
      <c r="R26" s="712">
        <v>0.0</v>
      </c>
      <c r="S26" s="713">
        <v>2.0</v>
      </c>
      <c r="T26" s="712">
        <v>0.0</v>
      </c>
      <c r="U26" s="713">
        <v>2.0</v>
      </c>
      <c r="V26" s="714"/>
      <c r="W26" s="715"/>
      <c r="X26" s="714"/>
      <c r="Y26" s="715"/>
      <c r="Z26" s="714"/>
      <c r="AA26" s="715"/>
      <c r="AB26" s="714"/>
      <c r="AC26" s="715"/>
      <c r="AD26" s="714"/>
      <c r="AE26" s="715"/>
      <c r="AF26" s="665"/>
      <c r="AG26" s="696">
        <f t="shared" ref="AG26:AH26" si="39">F26+H26+J26+L26+N26+P26+R26+T26+V26+X26+Z26+AB26+AD26</f>
        <v>13</v>
      </c>
      <c r="AH26" s="697">
        <f t="shared" si="39"/>
        <v>19</v>
      </c>
      <c r="AI26" s="698">
        <f t="shared" ref="AI26:AJ26" si="40">J26+H26+L26+N26+P26+R26+T26+V26+X26+Z26+AB26+AD26</f>
        <v>1</v>
      </c>
      <c r="AJ26" s="699">
        <f t="shared" si="40"/>
        <v>11</v>
      </c>
      <c r="AK26" s="541"/>
      <c r="AL26" s="541"/>
      <c r="AM26" s="700" t="s">
        <v>867</v>
      </c>
    </row>
    <row r="27" ht="26.25" customHeight="1">
      <c r="A27" s="679">
        <v>21.0</v>
      </c>
      <c r="B27" s="717" t="s">
        <v>409</v>
      </c>
      <c r="C27" s="703" t="s">
        <v>876</v>
      </c>
      <c r="D27" s="704" t="s">
        <v>854</v>
      </c>
      <c r="E27" s="705">
        <v>3.0</v>
      </c>
      <c r="F27" s="706">
        <v>12.0</v>
      </c>
      <c r="G27" s="707">
        <v>19.0</v>
      </c>
      <c r="H27" s="706">
        <v>0.0</v>
      </c>
      <c r="I27" s="708">
        <v>0.0</v>
      </c>
      <c r="J27" s="706">
        <v>0.0</v>
      </c>
      <c r="K27" s="708">
        <v>0.0</v>
      </c>
      <c r="L27" s="709">
        <v>0.0</v>
      </c>
      <c r="M27" s="710">
        <v>0.0</v>
      </c>
      <c r="N27" s="709">
        <v>0.0</v>
      </c>
      <c r="O27" s="711">
        <v>0.0</v>
      </c>
      <c r="P27" s="712">
        <v>0.0</v>
      </c>
      <c r="Q27" s="713">
        <v>0.0</v>
      </c>
      <c r="R27" s="712">
        <v>0.0</v>
      </c>
      <c r="S27" s="713">
        <v>0.0</v>
      </c>
      <c r="T27" s="712">
        <v>0.0</v>
      </c>
      <c r="U27" s="713">
        <v>0.0</v>
      </c>
      <c r="V27" s="714"/>
      <c r="W27" s="715"/>
      <c r="X27" s="714"/>
      <c r="Y27" s="715"/>
      <c r="Z27" s="714"/>
      <c r="AA27" s="715"/>
      <c r="AB27" s="714"/>
      <c r="AC27" s="715"/>
      <c r="AD27" s="714"/>
      <c r="AE27" s="715"/>
      <c r="AF27" s="665"/>
      <c r="AG27" s="696">
        <f t="shared" ref="AG27:AH27" si="41">F27+H27+J27+L27+N27+P27+R27+T27+V27+X27+Z27+AB27+AD27</f>
        <v>12</v>
      </c>
      <c r="AH27" s="697">
        <f t="shared" si="41"/>
        <v>19</v>
      </c>
      <c r="AI27" s="698">
        <f t="shared" ref="AI27:AJ27" si="42">J27+H27+L27+N27+P27+R27+T27+V27+X27+Z27+AB27+AD27</f>
        <v>0</v>
      </c>
      <c r="AJ27" s="699">
        <f t="shared" si="42"/>
        <v>0</v>
      </c>
      <c r="AK27" s="541"/>
      <c r="AL27" s="541"/>
      <c r="AM27" s="716" t="s">
        <v>849</v>
      </c>
    </row>
    <row r="28" ht="26.25" customHeight="1">
      <c r="A28" s="701">
        <v>22.0</v>
      </c>
      <c r="B28" s="730" t="s">
        <v>178</v>
      </c>
      <c r="C28" s="703" t="s">
        <v>877</v>
      </c>
      <c r="D28" s="704" t="s">
        <v>861</v>
      </c>
      <c r="E28" s="705">
        <v>1.0</v>
      </c>
      <c r="F28" s="706">
        <v>5.0</v>
      </c>
      <c r="G28" s="707">
        <v>1.0</v>
      </c>
      <c r="H28" s="706">
        <v>0.0</v>
      </c>
      <c r="I28" s="708">
        <v>0.0</v>
      </c>
      <c r="J28" s="706">
        <v>0.0</v>
      </c>
      <c r="K28" s="708">
        <v>0.0</v>
      </c>
      <c r="L28" s="709">
        <v>0.0</v>
      </c>
      <c r="M28" s="710">
        <v>0.0</v>
      </c>
      <c r="N28" s="709">
        <v>0.0</v>
      </c>
      <c r="O28" s="711">
        <v>0.0</v>
      </c>
      <c r="P28" s="712">
        <v>1.0</v>
      </c>
      <c r="Q28" s="713">
        <v>0.0</v>
      </c>
      <c r="R28" s="712">
        <v>0.0</v>
      </c>
      <c r="S28" s="713">
        <v>0.0</v>
      </c>
      <c r="T28" s="712">
        <v>0.0</v>
      </c>
      <c r="U28" s="713">
        <v>0.0</v>
      </c>
      <c r="V28" s="714"/>
      <c r="W28" s="715"/>
      <c r="X28" s="714"/>
      <c r="Y28" s="715"/>
      <c r="Z28" s="714"/>
      <c r="AA28" s="715"/>
      <c r="AB28" s="714"/>
      <c r="AC28" s="715"/>
      <c r="AD28" s="714"/>
      <c r="AE28" s="715"/>
      <c r="AF28" s="665"/>
      <c r="AG28" s="696">
        <f t="shared" ref="AG28:AH28" si="43">F28+H28+J28+L28+N28+P28+R28+T28+V28+X28+Z28+AB28+AD28</f>
        <v>6</v>
      </c>
      <c r="AH28" s="697">
        <f t="shared" si="43"/>
        <v>1</v>
      </c>
      <c r="AI28" s="698">
        <f t="shared" ref="AI28:AJ28" si="44">J28+H28+L28+N28+P28+R28+T28+V28+X28+Z28+AB28+AD28</f>
        <v>1</v>
      </c>
      <c r="AJ28" s="699">
        <f t="shared" si="44"/>
        <v>0</v>
      </c>
      <c r="AK28" s="541"/>
      <c r="AL28" s="541"/>
      <c r="AM28" s="716" t="s">
        <v>849</v>
      </c>
    </row>
    <row r="29" ht="26.25" customHeight="1">
      <c r="A29" s="679">
        <v>23.0</v>
      </c>
      <c r="B29" s="730" t="s">
        <v>177</v>
      </c>
      <c r="C29" s="703" t="s">
        <v>878</v>
      </c>
      <c r="D29" s="704" t="s">
        <v>861</v>
      </c>
      <c r="E29" s="705">
        <v>3.0</v>
      </c>
      <c r="F29" s="706">
        <v>21.0</v>
      </c>
      <c r="G29" s="707">
        <v>22.0</v>
      </c>
      <c r="H29" s="706">
        <v>0.0</v>
      </c>
      <c r="I29" s="708">
        <v>0.0</v>
      </c>
      <c r="J29" s="706">
        <v>0.0</v>
      </c>
      <c r="K29" s="708">
        <v>0.0</v>
      </c>
      <c r="L29" s="709">
        <v>0.0</v>
      </c>
      <c r="M29" s="710">
        <v>1.0</v>
      </c>
      <c r="N29" s="709">
        <v>0.0</v>
      </c>
      <c r="O29" s="711">
        <v>0.0</v>
      </c>
      <c r="P29" s="712">
        <v>1.0</v>
      </c>
      <c r="Q29" s="713">
        <v>3.0</v>
      </c>
      <c r="R29" s="712">
        <v>1.0</v>
      </c>
      <c r="S29" s="713">
        <v>2.0</v>
      </c>
      <c r="T29" s="712">
        <v>0.0</v>
      </c>
      <c r="U29" s="713">
        <v>1.0</v>
      </c>
      <c r="V29" s="714"/>
      <c r="W29" s="715"/>
      <c r="X29" s="714"/>
      <c r="Y29" s="715"/>
      <c r="Z29" s="714"/>
      <c r="AA29" s="715"/>
      <c r="AB29" s="714"/>
      <c r="AC29" s="715"/>
      <c r="AD29" s="714"/>
      <c r="AE29" s="715"/>
      <c r="AF29" s="665"/>
      <c r="AG29" s="696">
        <f t="shared" ref="AG29:AH29" si="45">F29+H29+J29+L29+N29+P29+R29+T29+V29+X29+Z29+AB29+AD29</f>
        <v>23</v>
      </c>
      <c r="AH29" s="697">
        <f t="shared" si="45"/>
        <v>29</v>
      </c>
      <c r="AI29" s="698">
        <f t="shared" ref="AI29:AJ29" si="46">J29+H29+L29+N29+P29+R29+T29+V29+X29+Z29+AB29+AD29</f>
        <v>2</v>
      </c>
      <c r="AJ29" s="699">
        <f t="shared" si="46"/>
        <v>7</v>
      </c>
      <c r="AK29" s="541"/>
      <c r="AL29" s="541"/>
      <c r="AM29" s="716" t="s">
        <v>855</v>
      </c>
    </row>
    <row r="30" ht="26.25" customHeight="1">
      <c r="A30" s="701">
        <v>24.0</v>
      </c>
      <c r="B30" s="730" t="s">
        <v>879</v>
      </c>
      <c r="C30" s="703" t="s">
        <v>880</v>
      </c>
      <c r="D30" s="704" t="s">
        <v>881</v>
      </c>
      <c r="E30" s="705">
        <v>4.0</v>
      </c>
      <c r="F30" s="706">
        <v>13.0</v>
      </c>
      <c r="G30" s="707">
        <v>23.0</v>
      </c>
      <c r="H30" s="706">
        <v>0.0</v>
      </c>
      <c r="I30" s="708">
        <v>0.0</v>
      </c>
      <c r="J30" s="706">
        <v>0.0</v>
      </c>
      <c r="K30" s="708">
        <v>1.0</v>
      </c>
      <c r="L30" s="709">
        <v>1.0</v>
      </c>
      <c r="M30" s="710">
        <v>0.0</v>
      </c>
      <c r="N30" s="709">
        <v>0.0</v>
      </c>
      <c r="O30" s="711">
        <v>0.0</v>
      </c>
      <c r="P30" s="709">
        <v>0.0</v>
      </c>
      <c r="Q30" s="710">
        <v>0.0</v>
      </c>
      <c r="R30" s="709">
        <v>0.0</v>
      </c>
      <c r="S30" s="710">
        <v>0.0</v>
      </c>
      <c r="T30" s="709">
        <v>0.0</v>
      </c>
      <c r="U30" s="710">
        <v>0.0</v>
      </c>
      <c r="V30" s="731"/>
      <c r="W30" s="732"/>
      <c r="X30" s="731"/>
      <c r="Y30" s="732"/>
      <c r="Z30" s="731"/>
      <c r="AA30" s="732"/>
      <c r="AB30" s="731"/>
      <c r="AC30" s="732"/>
      <c r="AD30" s="731"/>
      <c r="AE30" s="732"/>
      <c r="AF30" s="665"/>
      <c r="AG30" s="696">
        <f t="shared" ref="AG30:AH30" si="47">F30+H30+J30+L30+N30+P30+R30+T30+V30+X30+Z30+AB30+AD30</f>
        <v>14</v>
      </c>
      <c r="AH30" s="697">
        <f t="shared" si="47"/>
        <v>24</v>
      </c>
      <c r="AI30" s="698">
        <f t="shared" ref="AI30:AJ30" si="48">J30+H30+L30+N30+P30+R30+T30+V30+X30+Z30+AB30+AD30</f>
        <v>1</v>
      </c>
      <c r="AJ30" s="699">
        <f t="shared" si="48"/>
        <v>1</v>
      </c>
      <c r="AK30" s="541"/>
      <c r="AL30" s="541"/>
      <c r="AM30" s="700"/>
    </row>
    <row r="31" ht="26.25" customHeight="1">
      <c r="A31" s="679">
        <v>25.0</v>
      </c>
      <c r="B31" s="730" t="s">
        <v>196</v>
      </c>
      <c r="C31" s="703" t="s">
        <v>882</v>
      </c>
      <c r="D31" s="704" t="s">
        <v>854</v>
      </c>
      <c r="E31" s="705">
        <v>2.0</v>
      </c>
      <c r="F31" s="706">
        <v>11.0</v>
      </c>
      <c r="G31" s="707">
        <v>7.0</v>
      </c>
      <c r="H31" s="706">
        <v>0.0</v>
      </c>
      <c r="I31" s="708">
        <v>0.0</v>
      </c>
      <c r="J31" s="706">
        <v>0.0</v>
      </c>
      <c r="K31" s="708">
        <v>0.0</v>
      </c>
      <c r="L31" s="709">
        <v>0.0</v>
      </c>
      <c r="M31" s="710">
        <v>1.0</v>
      </c>
      <c r="N31" s="709">
        <v>0.0</v>
      </c>
      <c r="O31" s="711">
        <v>0.0</v>
      </c>
      <c r="P31" s="709">
        <v>0.0</v>
      </c>
      <c r="Q31" s="710">
        <v>0.0</v>
      </c>
      <c r="R31" s="709">
        <v>0.0</v>
      </c>
      <c r="S31" s="710">
        <v>0.0</v>
      </c>
      <c r="T31" s="709">
        <v>0.0</v>
      </c>
      <c r="U31" s="710">
        <v>0.0</v>
      </c>
      <c r="V31" s="731"/>
      <c r="W31" s="732"/>
      <c r="X31" s="731"/>
      <c r="Y31" s="732"/>
      <c r="Z31" s="731"/>
      <c r="AA31" s="732"/>
      <c r="AB31" s="731"/>
      <c r="AC31" s="732"/>
      <c r="AD31" s="731"/>
      <c r="AE31" s="732"/>
      <c r="AF31" s="665"/>
      <c r="AG31" s="696">
        <f t="shared" ref="AG31:AH31" si="49">F31+H31+J31+L31+N31+P31+R31+T31+V31+X31+Z31+AB31+AD31</f>
        <v>11</v>
      </c>
      <c r="AH31" s="697">
        <f t="shared" si="49"/>
        <v>8</v>
      </c>
      <c r="AI31" s="698">
        <f t="shared" ref="AI31:AJ31" si="50">J31+H31+L31+N31+P31+R31+T31+V31+X31+Z31+AB31+AD31</f>
        <v>0</v>
      </c>
      <c r="AJ31" s="699">
        <f t="shared" si="50"/>
        <v>1</v>
      </c>
      <c r="AK31" s="541"/>
      <c r="AL31" s="541"/>
      <c r="AM31" s="700"/>
    </row>
    <row r="32" ht="26.25" customHeight="1">
      <c r="A32" s="701">
        <v>26.0</v>
      </c>
      <c r="B32" s="730" t="s">
        <v>179</v>
      </c>
      <c r="C32" s="703" t="s">
        <v>883</v>
      </c>
      <c r="D32" s="704" t="s">
        <v>881</v>
      </c>
      <c r="E32" s="705">
        <v>3.0</v>
      </c>
      <c r="F32" s="706">
        <v>15.0</v>
      </c>
      <c r="G32" s="707">
        <v>19.0</v>
      </c>
      <c r="H32" s="706">
        <v>0.0</v>
      </c>
      <c r="I32" s="708">
        <v>0.0</v>
      </c>
      <c r="J32" s="706">
        <v>0.0</v>
      </c>
      <c r="K32" s="708">
        <v>0.0</v>
      </c>
      <c r="L32" s="709">
        <v>0.0</v>
      </c>
      <c r="M32" s="710">
        <v>2.0</v>
      </c>
      <c r="N32" s="709">
        <v>0.0</v>
      </c>
      <c r="O32" s="711">
        <v>0.0</v>
      </c>
      <c r="P32" s="709">
        <v>1.0</v>
      </c>
      <c r="Q32" s="710">
        <v>3.0</v>
      </c>
      <c r="R32" s="709">
        <v>0.0</v>
      </c>
      <c r="S32" s="710">
        <v>0.0</v>
      </c>
      <c r="T32" s="709">
        <v>0.0</v>
      </c>
      <c r="U32" s="710">
        <v>1.0</v>
      </c>
      <c r="V32" s="731"/>
      <c r="W32" s="732"/>
      <c r="X32" s="731"/>
      <c r="Y32" s="732"/>
      <c r="Z32" s="731"/>
      <c r="AA32" s="732"/>
      <c r="AB32" s="731"/>
      <c r="AC32" s="732"/>
      <c r="AD32" s="731"/>
      <c r="AE32" s="732"/>
      <c r="AF32" s="665"/>
      <c r="AG32" s="696">
        <f t="shared" ref="AG32:AH32" si="51">F32+H32+J32+L32+N32+P32+R32+T32+V32+X32+Z32+AB32+AD32</f>
        <v>16</v>
      </c>
      <c r="AH32" s="697">
        <f t="shared" si="51"/>
        <v>25</v>
      </c>
      <c r="AI32" s="698">
        <f t="shared" ref="AI32:AJ32" si="52">J32+H32+L32+N32+P32+R32+T32+V32+X32+Z32+AB32+AD32</f>
        <v>1</v>
      </c>
      <c r="AJ32" s="699">
        <f t="shared" si="52"/>
        <v>6</v>
      </c>
      <c r="AK32" s="541"/>
      <c r="AL32" s="541"/>
      <c r="AM32" s="700"/>
    </row>
    <row r="33" ht="26.25" customHeight="1">
      <c r="A33" s="679">
        <v>27.0</v>
      </c>
      <c r="B33" s="730" t="s">
        <v>125</v>
      </c>
      <c r="C33" s="703" t="s">
        <v>884</v>
      </c>
      <c r="D33" s="704" t="s">
        <v>885</v>
      </c>
      <c r="E33" s="705">
        <v>1.0</v>
      </c>
      <c r="F33" s="706">
        <v>3.0</v>
      </c>
      <c r="G33" s="707">
        <v>6.0</v>
      </c>
      <c r="H33" s="706">
        <v>0.0</v>
      </c>
      <c r="I33" s="708">
        <v>0.0</v>
      </c>
      <c r="J33" s="706">
        <v>0.0</v>
      </c>
      <c r="K33" s="708">
        <v>0.0</v>
      </c>
      <c r="L33" s="709">
        <v>0.0</v>
      </c>
      <c r="M33" s="710">
        <v>0.0</v>
      </c>
      <c r="N33" s="709">
        <v>0.0</v>
      </c>
      <c r="O33" s="711">
        <v>0.0</v>
      </c>
      <c r="P33" s="709">
        <v>1.0</v>
      </c>
      <c r="Q33" s="710">
        <v>1.0</v>
      </c>
      <c r="R33" s="709">
        <v>0.0</v>
      </c>
      <c r="S33" s="710">
        <v>0.0</v>
      </c>
      <c r="T33" s="709">
        <v>0.0</v>
      </c>
      <c r="U33" s="710">
        <v>0.0</v>
      </c>
      <c r="V33" s="731"/>
      <c r="W33" s="732"/>
      <c r="X33" s="731"/>
      <c r="Y33" s="732"/>
      <c r="Z33" s="731"/>
      <c r="AA33" s="732"/>
      <c r="AB33" s="731"/>
      <c r="AC33" s="732"/>
      <c r="AD33" s="731"/>
      <c r="AE33" s="732"/>
      <c r="AF33" s="665"/>
      <c r="AG33" s="696">
        <f t="shared" ref="AG33:AH33" si="53">F33+H33+J33+L33+N33+P33+R33+T33+V33+X33+Z33+AB33+AD33</f>
        <v>4</v>
      </c>
      <c r="AH33" s="697">
        <f t="shared" si="53"/>
        <v>7</v>
      </c>
      <c r="AI33" s="698">
        <f t="shared" ref="AI33:AJ33" si="54">J33+H33+L33+N33+P33+R33+T33+V33+X33+Z33+AB33+AD33</f>
        <v>1</v>
      </c>
      <c r="AJ33" s="699">
        <f t="shared" si="54"/>
        <v>1</v>
      </c>
      <c r="AK33" s="541"/>
      <c r="AL33" s="541"/>
      <c r="AM33" s="700"/>
    </row>
    <row r="34" ht="26.25" customHeight="1">
      <c r="A34" s="701">
        <v>28.0</v>
      </c>
      <c r="B34" s="730" t="s">
        <v>124</v>
      </c>
      <c r="C34" s="703" t="s">
        <v>886</v>
      </c>
      <c r="D34" s="704" t="s">
        <v>866</v>
      </c>
      <c r="E34" s="705">
        <v>2.0</v>
      </c>
      <c r="F34" s="706">
        <v>3.0</v>
      </c>
      <c r="G34" s="707">
        <v>1.0</v>
      </c>
      <c r="H34" s="706">
        <v>0.0</v>
      </c>
      <c r="I34" s="708">
        <v>0.0</v>
      </c>
      <c r="J34" s="687">
        <v>0.0</v>
      </c>
      <c r="K34" s="688">
        <v>0.0</v>
      </c>
      <c r="L34" s="709">
        <v>0.0</v>
      </c>
      <c r="M34" s="710">
        <v>0.0</v>
      </c>
      <c r="N34" s="709">
        <v>0.0</v>
      </c>
      <c r="O34" s="711">
        <v>0.0</v>
      </c>
      <c r="P34" s="709">
        <v>0.0</v>
      </c>
      <c r="Q34" s="710">
        <v>2.0</v>
      </c>
      <c r="R34" s="709">
        <v>0.0</v>
      </c>
      <c r="S34" s="710">
        <v>0.0</v>
      </c>
      <c r="T34" s="709">
        <v>0.0</v>
      </c>
      <c r="U34" s="710">
        <v>0.0</v>
      </c>
      <c r="V34" s="731"/>
      <c r="W34" s="732"/>
      <c r="X34" s="731"/>
      <c r="Y34" s="732"/>
      <c r="Z34" s="731"/>
      <c r="AA34" s="732"/>
      <c r="AB34" s="731"/>
      <c r="AC34" s="732"/>
      <c r="AD34" s="731"/>
      <c r="AE34" s="732"/>
      <c r="AF34" s="665"/>
      <c r="AG34" s="696">
        <f t="shared" ref="AG34:AH34" si="55">F34+H34+J34+L34+N34+P34+R34+T34+V34+X34+Z34+AB34+AD34</f>
        <v>3</v>
      </c>
      <c r="AH34" s="697">
        <f t="shared" si="55"/>
        <v>3</v>
      </c>
      <c r="AI34" s="698">
        <f t="shared" ref="AI34:AJ34" si="56">J34+H34+L34+N34+P34+R34+T34+V34+X34+Z34+AB34+AD34</f>
        <v>0</v>
      </c>
      <c r="AJ34" s="699">
        <f t="shared" si="56"/>
        <v>2</v>
      </c>
      <c r="AK34" s="541"/>
      <c r="AL34" s="541"/>
      <c r="AM34" s="700"/>
    </row>
    <row r="35" ht="26.25" customHeight="1">
      <c r="A35" s="679">
        <v>29.0</v>
      </c>
      <c r="B35" s="702" t="s">
        <v>38</v>
      </c>
      <c r="C35" s="733" t="s">
        <v>887</v>
      </c>
      <c r="D35" s="704" t="s">
        <v>854</v>
      </c>
      <c r="E35" s="705">
        <v>1.0</v>
      </c>
      <c r="F35" s="706">
        <v>5.0</v>
      </c>
      <c r="G35" s="707">
        <v>12.0</v>
      </c>
      <c r="H35" s="706">
        <v>0.0</v>
      </c>
      <c r="I35" s="708">
        <v>0.0</v>
      </c>
      <c r="J35" s="706">
        <v>1.0</v>
      </c>
      <c r="K35" s="708">
        <v>0.0</v>
      </c>
      <c r="L35" s="709">
        <v>0.0</v>
      </c>
      <c r="M35" s="710">
        <v>1.0</v>
      </c>
      <c r="N35" s="709">
        <v>0.0</v>
      </c>
      <c r="O35" s="711">
        <v>0.0</v>
      </c>
      <c r="P35" s="709">
        <v>0.0</v>
      </c>
      <c r="Q35" s="710">
        <v>0.0</v>
      </c>
      <c r="R35" s="709">
        <v>1.0</v>
      </c>
      <c r="S35" s="710">
        <v>0.0</v>
      </c>
      <c r="T35" s="709">
        <v>0.0</v>
      </c>
      <c r="U35" s="710">
        <v>1.0</v>
      </c>
      <c r="V35" s="731"/>
      <c r="W35" s="732"/>
      <c r="X35" s="731"/>
      <c r="Y35" s="732"/>
      <c r="Z35" s="731"/>
      <c r="AA35" s="732"/>
      <c r="AB35" s="731"/>
      <c r="AC35" s="732"/>
      <c r="AD35" s="731"/>
      <c r="AE35" s="732"/>
      <c r="AF35" s="665"/>
      <c r="AG35" s="696">
        <f t="shared" ref="AG35:AH35" si="57">F35+H35+J35+L35+N35+P35+R35+T35+V35+X35+Z35+AB35+AD35</f>
        <v>7</v>
      </c>
      <c r="AH35" s="697">
        <f t="shared" si="57"/>
        <v>14</v>
      </c>
      <c r="AI35" s="698">
        <f t="shared" ref="AI35:AJ35" si="58">J35+H35+L35+N35+P35+R35+T35+V35+X35+Z35+AB35+AD35</f>
        <v>2</v>
      </c>
      <c r="AJ35" s="699">
        <f t="shared" si="58"/>
        <v>2</v>
      </c>
      <c r="AK35" s="541"/>
      <c r="AL35" s="541"/>
      <c r="AM35" s="700"/>
    </row>
    <row r="36" ht="26.25" customHeight="1">
      <c r="A36" s="701">
        <v>30.0</v>
      </c>
      <c r="B36" s="717" t="s">
        <v>36</v>
      </c>
      <c r="C36" s="703" t="s">
        <v>888</v>
      </c>
      <c r="D36" s="704" t="s">
        <v>846</v>
      </c>
      <c r="E36" s="705">
        <v>4.0</v>
      </c>
      <c r="F36" s="706">
        <v>18.0</v>
      </c>
      <c r="G36" s="707">
        <v>30.0</v>
      </c>
      <c r="H36" s="706">
        <v>0.0</v>
      </c>
      <c r="I36" s="708">
        <v>0.0</v>
      </c>
      <c r="J36" s="706">
        <v>1.0</v>
      </c>
      <c r="K36" s="708">
        <v>1.0</v>
      </c>
      <c r="L36" s="709">
        <v>0.0</v>
      </c>
      <c r="M36" s="710">
        <v>1.0</v>
      </c>
      <c r="N36" s="709">
        <v>0.0</v>
      </c>
      <c r="O36" s="711">
        <v>4.0</v>
      </c>
      <c r="P36" s="709">
        <v>0.0</v>
      </c>
      <c r="Q36" s="710">
        <v>3.0</v>
      </c>
      <c r="R36" s="709">
        <v>0.0</v>
      </c>
      <c r="S36" s="710">
        <v>4.0</v>
      </c>
      <c r="T36" s="709">
        <v>0.0</v>
      </c>
      <c r="U36" s="710">
        <v>2.0</v>
      </c>
      <c r="V36" s="731"/>
      <c r="W36" s="732"/>
      <c r="X36" s="731"/>
      <c r="Y36" s="732"/>
      <c r="Z36" s="731"/>
      <c r="AA36" s="732"/>
      <c r="AB36" s="731"/>
      <c r="AC36" s="732"/>
      <c r="AD36" s="731"/>
      <c r="AE36" s="732"/>
      <c r="AF36" s="665"/>
      <c r="AG36" s="696">
        <f t="shared" ref="AG36:AH36" si="59">F36+H36+J36+L36+N36+P36+R36+T36+V36+X36+Z36+AB36+AD36</f>
        <v>19</v>
      </c>
      <c r="AH36" s="697">
        <f t="shared" si="59"/>
        <v>45</v>
      </c>
      <c r="AI36" s="698">
        <f t="shared" ref="AI36:AJ36" si="60">J36+H36+L36+N36+P36+R36+T36+V36+X36+Z36+AB36+AD36</f>
        <v>1</v>
      </c>
      <c r="AJ36" s="699">
        <f t="shared" si="60"/>
        <v>15</v>
      </c>
      <c r="AK36" s="541"/>
      <c r="AL36" s="541"/>
      <c r="AM36" s="700"/>
    </row>
    <row r="37" ht="26.25" customHeight="1">
      <c r="A37" s="679">
        <v>31.0</v>
      </c>
      <c r="B37" s="717" t="s">
        <v>88</v>
      </c>
      <c r="C37" s="703" t="s">
        <v>889</v>
      </c>
      <c r="D37" s="704" t="s">
        <v>854</v>
      </c>
      <c r="E37" s="705">
        <v>4.0</v>
      </c>
      <c r="F37" s="706">
        <v>14.0</v>
      </c>
      <c r="G37" s="707">
        <v>24.0</v>
      </c>
      <c r="H37" s="706">
        <v>0.0</v>
      </c>
      <c r="I37" s="708">
        <v>0.0</v>
      </c>
      <c r="J37" s="706">
        <v>0.0</v>
      </c>
      <c r="K37" s="708">
        <v>2.0</v>
      </c>
      <c r="L37" s="709">
        <v>1.0</v>
      </c>
      <c r="M37" s="710">
        <v>2.0</v>
      </c>
      <c r="N37" s="709">
        <v>1.0</v>
      </c>
      <c r="O37" s="711">
        <v>3.0</v>
      </c>
      <c r="P37" s="709">
        <v>0.0</v>
      </c>
      <c r="Q37" s="710">
        <v>1.0</v>
      </c>
      <c r="R37" s="709">
        <v>0.0</v>
      </c>
      <c r="S37" s="710">
        <v>0.0</v>
      </c>
      <c r="T37" s="709">
        <v>0.0</v>
      </c>
      <c r="U37" s="710">
        <v>0.0</v>
      </c>
      <c r="V37" s="731"/>
      <c r="W37" s="732"/>
      <c r="X37" s="731"/>
      <c r="Y37" s="732"/>
      <c r="Z37" s="731"/>
      <c r="AA37" s="732"/>
      <c r="AB37" s="731"/>
      <c r="AC37" s="732"/>
      <c r="AD37" s="731"/>
      <c r="AE37" s="732"/>
      <c r="AF37" s="665"/>
      <c r="AG37" s="696">
        <f t="shared" ref="AG37:AH37" si="61">F37+H37+J37+L37+N37+P37+R37+T37+V37+X37+Z37+AB37+AD37</f>
        <v>16</v>
      </c>
      <c r="AH37" s="697">
        <f t="shared" si="61"/>
        <v>32</v>
      </c>
      <c r="AI37" s="698">
        <f t="shared" ref="AI37:AJ37" si="62">J37+H37+L37+N37+P37+R37+T37+V37+X37+Z37+AB37+AD37</f>
        <v>2</v>
      </c>
      <c r="AJ37" s="699">
        <f t="shared" si="62"/>
        <v>8</v>
      </c>
      <c r="AK37" s="541"/>
      <c r="AL37" s="541"/>
      <c r="AM37" s="700"/>
    </row>
    <row r="38" ht="26.25" customHeight="1">
      <c r="A38" s="701">
        <v>32.0</v>
      </c>
      <c r="B38" s="717" t="s">
        <v>35</v>
      </c>
      <c r="C38" s="703" t="s">
        <v>890</v>
      </c>
      <c r="D38" s="704" t="s">
        <v>854</v>
      </c>
      <c r="E38" s="719">
        <v>2.0</v>
      </c>
      <c r="F38" s="720">
        <v>18.0</v>
      </c>
      <c r="G38" s="721">
        <v>18.0</v>
      </c>
      <c r="H38" s="720">
        <v>0.0</v>
      </c>
      <c r="I38" s="722">
        <v>0.0</v>
      </c>
      <c r="J38" s="706">
        <v>1.0</v>
      </c>
      <c r="K38" s="708">
        <v>2.0</v>
      </c>
      <c r="L38" s="709">
        <v>0.0</v>
      </c>
      <c r="M38" s="710">
        <v>1.0</v>
      </c>
      <c r="N38" s="709">
        <v>0.0</v>
      </c>
      <c r="O38" s="711">
        <v>2.0</v>
      </c>
      <c r="P38" s="709">
        <v>0.0</v>
      </c>
      <c r="Q38" s="710">
        <v>0.0</v>
      </c>
      <c r="R38" s="709">
        <v>0.0</v>
      </c>
      <c r="S38" s="710">
        <v>2.0</v>
      </c>
      <c r="T38" s="709">
        <v>0.0</v>
      </c>
      <c r="U38" s="710">
        <v>1.0</v>
      </c>
      <c r="V38" s="731"/>
      <c r="W38" s="732"/>
      <c r="X38" s="731"/>
      <c r="Y38" s="732"/>
      <c r="Z38" s="731"/>
      <c r="AA38" s="732"/>
      <c r="AB38" s="731"/>
      <c r="AC38" s="732"/>
      <c r="AD38" s="731"/>
      <c r="AE38" s="732"/>
      <c r="AF38" s="665"/>
      <c r="AG38" s="696">
        <f t="shared" ref="AG38:AH38" si="63">F38+H38+J38+L38+N38+P38+R38+T38+V38+X38+Z38+AB38+AD38</f>
        <v>19</v>
      </c>
      <c r="AH38" s="697">
        <f t="shared" si="63"/>
        <v>26</v>
      </c>
      <c r="AI38" s="698">
        <f t="shared" ref="AI38:AJ38" si="64">J38+H38+L38+N38+P38+R38+T38+V38+X38+Z38+AB38+AD38</f>
        <v>1</v>
      </c>
      <c r="AJ38" s="699">
        <f t="shared" si="64"/>
        <v>8</v>
      </c>
      <c r="AK38" s="541"/>
      <c r="AL38" s="541"/>
      <c r="AM38" s="700"/>
    </row>
    <row r="39" ht="26.25" customHeight="1">
      <c r="A39" s="679">
        <v>33.0</v>
      </c>
      <c r="B39" s="717" t="s">
        <v>37</v>
      </c>
      <c r="C39" s="703" t="s">
        <v>891</v>
      </c>
      <c r="D39" s="704" t="s">
        <v>854</v>
      </c>
      <c r="E39" s="705">
        <v>2.0</v>
      </c>
      <c r="F39" s="706">
        <v>12.0</v>
      </c>
      <c r="G39" s="707">
        <v>12.0</v>
      </c>
      <c r="H39" s="706">
        <v>0.0</v>
      </c>
      <c r="I39" s="708">
        <v>0.0</v>
      </c>
      <c r="J39" s="706">
        <v>1.0</v>
      </c>
      <c r="K39" s="708">
        <v>2.0</v>
      </c>
      <c r="L39" s="709">
        <v>0.0</v>
      </c>
      <c r="M39" s="710">
        <v>1.0</v>
      </c>
      <c r="N39" s="709">
        <v>0.0</v>
      </c>
      <c r="O39" s="711">
        <v>4.0</v>
      </c>
      <c r="P39" s="709">
        <v>0.0</v>
      </c>
      <c r="Q39" s="710">
        <v>1.0</v>
      </c>
      <c r="R39" s="709">
        <v>0.0</v>
      </c>
      <c r="S39" s="710">
        <v>2.0</v>
      </c>
      <c r="T39" s="709">
        <v>0.0</v>
      </c>
      <c r="U39" s="710">
        <v>1.0</v>
      </c>
      <c r="V39" s="731"/>
      <c r="W39" s="732"/>
      <c r="X39" s="731"/>
      <c r="Y39" s="732"/>
      <c r="Z39" s="731"/>
      <c r="AA39" s="732"/>
      <c r="AB39" s="731"/>
      <c r="AC39" s="732"/>
      <c r="AD39" s="731"/>
      <c r="AE39" s="732"/>
      <c r="AF39" s="665"/>
      <c r="AG39" s="696">
        <f t="shared" ref="AG39:AH39" si="65">F39+H39+J39+L39+N39+P39+R39+T39+V39+X39+Z39+AB39+AD39</f>
        <v>13</v>
      </c>
      <c r="AH39" s="697">
        <f t="shared" si="65"/>
        <v>23</v>
      </c>
      <c r="AI39" s="698">
        <f t="shared" ref="AI39:AJ39" si="66">J39+H39+L39+N39+P39+R39+T39+V39+X39+Z39+AB39+AD39</f>
        <v>1</v>
      </c>
      <c r="AJ39" s="699">
        <f t="shared" si="66"/>
        <v>11</v>
      </c>
      <c r="AK39" s="541"/>
      <c r="AL39" s="541"/>
      <c r="AM39" s="700"/>
    </row>
    <row r="40" ht="26.25" customHeight="1">
      <c r="A40" s="701">
        <v>34.0</v>
      </c>
      <c r="B40" s="717" t="s">
        <v>39</v>
      </c>
      <c r="C40" s="703" t="s">
        <v>892</v>
      </c>
      <c r="D40" s="704" t="s">
        <v>861</v>
      </c>
      <c r="E40" s="719">
        <v>1.0</v>
      </c>
      <c r="F40" s="720">
        <v>5.0</v>
      </c>
      <c r="G40" s="721">
        <v>2.0</v>
      </c>
      <c r="H40" s="720">
        <v>0.0</v>
      </c>
      <c r="I40" s="722">
        <v>0.0</v>
      </c>
      <c r="J40" s="706">
        <v>1.0</v>
      </c>
      <c r="K40" s="708">
        <v>2.0</v>
      </c>
      <c r="L40" s="709">
        <v>0.0</v>
      </c>
      <c r="M40" s="710">
        <v>1.0</v>
      </c>
      <c r="N40" s="709">
        <v>0.0</v>
      </c>
      <c r="O40" s="711">
        <v>1.0</v>
      </c>
      <c r="P40" s="709">
        <v>0.0</v>
      </c>
      <c r="Q40" s="710">
        <v>2.0</v>
      </c>
      <c r="R40" s="709">
        <v>0.0</v>
      </c>
      <c r="S40" s="710">
        <v>0.0</v>
      </c>
      <c r="T40" s="709">
        <v>0.0</v>
      </c>
      <c r="U40" s="710">
        <v>2.0</v>
      </c>
      <c r="V40" s="731"/>
      <c r="W40" s="732"/>
      <c r="X40" s="731"/>
      <c r="Y40" s="732"/>
      <c r="Z40" s="731"/>
      <c r="AA40" s="732"/>
      <c r="AB40" s="731"/>
      <c r="AC40" s="732"/>
      <c r="AD40" s="731"/>
      <c r="AE40" s="732"/>
      <c r="AF40" s="665"/>
      <c r="AG40" s="696">
        <f t="shared" ref="AG40:AH40" si="67">F40+H40+J40+L40+N40+P40+R40+T40+V40+X40+Z40+AB40+AD40</f>
        <v>6</v>
      </c>
      <c r="AH40" s="697">
        <f t="shared" si="67"/>
        <v>10</v>
      </c>
      <c r="AI40" s="698">
        <f t="shared" ref="AI40:AJ40" si="68">J40+H40+L40+N40+P40+R40+T40+V40+X40+Z40+AB40+AD40</f>
        <v>1</v>
      </c>
      <c r="AJ40" s="699">
        <f t="shared" si="68"/>
        <v>8</v>
      </c>
      <c r="AK40" s="541"/>
      <c r="AL40" s="541"/>
      <c r="AM40" s="700"/>
    </row>
    <row r="41" ht="26.25" customHeight="1">
      <c r="A41" s="679">
        <v>35.0</v>
      </c>
      <c r="B41" s="717" t="s">
        <v>40</v>
      </c>
      <c r="C41" s="703" t="s">
        <v>893</v>
      </c>
      <c r="D41" s="704" t="s">
        <v>881</v>
      </c>
      <c r="E41" s="705">
        <v>0.0</v>
      </c>
      <c r="F41" s="706">
        <v>4.0</v>
      </c>
      <c r="G41" s="707">
        <v>0.0</v>
      </c>
      <c r="H41" s="706">
        <v>0.0</v>
      </c>
      <c r="I41" s="708">
        <v>0.0</v>
      </c>
      <c r="J41" s="706">
        <v>1.0</v>
      </c>
      <c r="K41" s="708">
        <v>0.0</v>
      </c>
      <c r="L41" s="709">
        <v>0.0</v>
      </c>
      <c r="M41" s="710">
        <v>0.0</v>
      </c>
      <c r="N41" s="709">
        <v>0.0</v>
      </c>
      <c r="O41" s="711">
        <v>0.0</v>
      </c>
      <c r="P41" s="709">
        <v>0.0</v>
      </c>
      <c r="Q41" s="710">
        <v>0.0</v>
      </c>
      <c r="R41" s="709">
        <v>0.0</v>
      </c>
      <c r="S41" s="710">
        <v>0.0</v>
      </c>
      <c r="T41" s="709">
        <v>0.0</v>
      </c>
      <c r="U41" s="710">
        <v>1.0</v>
      </c>
      <c r="V41" s="731"/>
      <c r="W41" s="732"/>
      <c r="X41" s="731"/>
      <c r="Y41" s="732"/>
      <c r="Z41" s="731"/>
      <c r="AA41" s="732"/>
      <c r="AB41" s="731"/>
      <c r="AC41" s="732"/>
      <c r="AD41" s="731"/>
      <c r="AE41" s="732"/>
      <c r="AF41" s="665"/>
      <c r="AG41" s="696">
        <f t="shared" ref="AG41:AH41" si="69">F41+H41+J41+L41+N41+P41+R41+T41+V41+X41+Z41+AB41+AD41</f>
        <v>5</v>
      </c>
      <c r="AH41" s="697">
        <f t="shared" si="69"/>
        <v>1</v>
      </c>
      <c r="AI41" s="698">
        <f t="shared" ref="AI41:AJ41" si="70">J41+H41+L41+N41+P41+R41+T41+V41+X41+Z41+AB41+AD41</f>
        <v>1</v>
      </c>
      <c r="AJ41" s="699">
        <f t="shared" si="70"/>
        <v>1</v>
      </c>
      <c r="AK41" s="541"/>
      <c r="AL41" s="541"/>
      <c r="AM41" s="700"/>
    </row>
    <row r="42" ht="26.25" customHeight="1">
      <c r="A42" s="701">
        <v>36.0</v>
      </c>
      <c r="B42" s="730" t="s">
        <v>245</v>
      </c>
      <c r="C42" s="703" t="s">
        <v>894</v>
      </c>
      <c r="D42" s="704" t="s">
        <v>895</v>
      </c>
      <c r="E42" s="705">
        <v>4.0</v>
      </c>
      <c r="F42" s="706">
        <v>25.0</v>
      </c>
      <c r="G42" s="707">
        <v>59.0</v>
      </c>
      <c r="H42" s="706">
        <v>0.0</v>
      </c>
      <c r="I42" s="708">
        <v>0.0</v>
      </c>
      <c r="J42" s="706">
        <v>0.0</v>
      </c>
      <c r="K42" s="708">
        <v>0.0</v>
      </c>
      <c r="L42" s="709">
        <v>0.0</v>
      </c>
      <c r="M42" s="710">
        <v>3.0</v>
      </c>
      <c r="N42" s="709">
        <v>0.0</v>
      </c>
      <c r="O42" s="711">
        <v>0.0</v>
      </c>
      <c r="P42" s="709">
        <v>0.0</v>
      </c>
      <c r="Q42" s="710">
        <v>1.0</v>
      </c>
      <c r="R42" s="709">
        <v>0.0</v>
      </c>
      <c r="S42" s="710">
        <v>0.0</v>
      </c>
      <c r="T42" s="709">
        <v>0.0</v>
      </c>
      <c r="U42" s="710">
        <v>1.0</v>
      </c>
      <c r="V42" s="731"/>
      <c r="W42" s="732"/>
      <c r="X42" s="731"/>
      <c r="Y42" s="732"/>
      <c r="Z42" s="731"/>
      <c r="AA42" s="732"/>
      <c r="AB42" s="731"/>
      <c r="AC42" s="732"/>
      <c r="AD42" s="731"/>
      <c r="AE42" s="732"/>
      <c r="AF42" s="665"/>
      <c r="AG42" s="696">
        <f t="shared" ref="AG42:AH42" si="71">F42+H42+J42+L42+N42+P42+R42+T42+V42+X42+Z42+AB42+AD42</f>
        <v>25</v>
      </c>
      <c r="AH42" s="697">
        <f t="shared" si="71"/>
        <v>64</v>
      </c>
      <c r="AI42" s="698">
        <f t="shared" ref="AI42:AJ42" si="72">J42+H42+L42+N42+P42+R42+T42+V42+X42+Z42+AB42+AD42</f>
        <v>0</v>
      </c>
      <c r="AJ42" s="699">
        <f t="shared" si="72"/>
        <v>5</v>
      </c>
      <c r="AK42" s="541"/>
      <c r="AL42" s="541"/>
      <c r="AM42" s="700"/>
    </row>
    <row r="43" ht="26.25" customHeight="1">
      <c r="A43" s="679">
        <v>37.0</v>
      </c>
      <c r="B43" s="702" t="s">
        <v>393</v>
      </c>
      <c r="C43" s="703" t="s">
        <v>896</v>
      </c>
      <c r="D43" s="704" t="s">
        <v>885</v>
      </c>
      <c r="E43" s="705">
        <v>4.0</v>
      </c>
      <c r="F43" s="706">
        <v>20.0</v>
      </c>
      <c r="G43" s="707">
        <v>90.0</v>
      </c>
      <c r="H43" s="706">
        <v>0.0</v>
      </c>
      <c r="I43" s="708">
        <v>0.0</v>
      </c>
      <c r="J43" s="706">
        <v>1.0</v>
      </c>
      <c r="K43" s="708">
        <v>3.0</v>
      </c>
      <c r="L43" s="709">
        <v>0.0</v>
      </c>
      <c r="M43" s="710">
        <v>3.0</v>
      </c>
      <c r="N43" s="709">
        <v>0.0</v>
      </c>
      <c r="O43" s="711">
        <v>1.0</v>
      </c>
      <c r="P43" s="709">
        <v>1.0</v>
      </c>
      <c r="Q43" s="710">
        <v>3.0</v>
      </c>
      <c r="R43" s="709">
        <v>0.0</v>
      </c>
      <c r="S43" s="710">
        <v>3.0</v>
      </c>
      <c r="T43" s="709">
        <v>0.0</v>
      </c>
      <c r="U43" s="710">
        <v>1.0</v>
      </c>
      <c r="V43" s="731"/>
      <c r="W43" s="732"/>
      <c r="X43" s="731"/>
      <c r="Y43" s="732"/>
      <c r="Z43" s="731"/>
      <c r="AA43" s="732"/>
      <c r="AB43" s="731"/>
      <c r="AC43" s="732"/>
      <c r="AD43" s="731"/>
      <c r="AE43" s="732"/>
      <c r="AF43" s="729"/>
      <c r="AG43" s="696">
        <f t="shared" ref="AG43:AH43" si="73">F43+H43+J43+L43+N43+P43+R43+T43+V43+X43+Z43+AB43+AD43</f>
        <v>22</v>
      </c>
      <c r="AH43" s="697">
        <f t="shared" si="73"/>
        <v>104</v>
      </c>
      <c r="AI43" s="698">
        <f t="shared" ref="AI43:AJ43" si="74">J43+H43+L43+N43+P43+R43+T43+V43+X43+Z43+AB43+AD43</f>
        <v>2</v>
      </c>
      <c r="AJ43" s="699">
        <f t="shared" si="74"/>
        <v>14</v>
      </c>
      <c r="AK43" s="541"/>
      <c r="AL43" s="541"/>
      <c r="AM43" s="700"/>
    </row>
    <row r="44" ht="26.25" customHeight="1">
      <c r="A44" s="701">
        <v>38.0</v>
      </c>
      <c r="B44" s="717" t="s">
        <v>121</v>
      </c>
      <c r="C44" s="703" t="s">
        <v>897</v>
      </c>
      <c r="D44" s="704" t="s">
        <v>898</v>
      </c>
      <c r="E44" s="705">
        <v>2.0</v>
      </c>
      <c r="F44" s="706">
        <v>9.0</v>
      </c>
      <c r="G44" s="707">
        <v>13.0</v>
      </c>
      <c r="H44" s="706">
        <v>0.0</v>
      </c>
      <c r="I44" s="708">
        <v>0.0</v>
      </c>
      <c r="J44" s="706">
        <v>1.0</v>
      </c>
      <c r="K44" s="708">
        <v>3.0</v>
      </c>
      <c r="L44" s="709">
        <v>0.0</v>
      </c>
      <c r="M44" s="710">
        <v>1.0</v>
      </c>
      <c r="N44" s="709">
        <v>0.0</v>
      </c>
      <c r="O44" s="711">
        <v>0.0</v>
      </c>
      <c r="P44" s="709">
        <v>0.0</v>
      </c>
      <c r="Q44" s="710">
        <v>1.0</v>
      </c>
      <c r="R44" s="709">
        <v>0.0</v>
      </c>
      <c r="S44" s="710">
        <v>2.0</v>
      </c>
      <c r="T44" s="709">
        <v>0.0</v>
      </c>
      <c r="U44" s="710">
        <v>0.0</v>
      </c>
      <c r="V44" s="731"/>
      <c r="W44" s="732"/>
      <c r="X44" s="731"/>
      <c r="Y44" s="732"/>
      <c r="Z44" s="731"/>
      <c r="AA44" s="732"/>
      <c r="AB44" s="731"/>
      <c r="AC44" s="732"/>
      <c r="AD44" s="731"/>
      <c r="AE44" s="732"/>
      <c r="AF44" s="665"/>
      <c r="AG44" s="696">
        <f t="shared" ref="AG44:AH44" si="75">F44+H44+J44+L44+N44+P44+R44+T44+V44+X44+Z44+AB44+AD44</f>
        <v>10</v>
      </c>
      <c r="AH44" s="697">
        <f t="shared" si="75"/>
        <v>20</v>
      </c>
      <c r="AI44" s="698">
        <f t="shared" ref="AI44:AJ44" si="76">J44+H44+L44+N44+P44+R44+T44+V44+X44+Z44+AB44+AD44</f>
        <v>1</v>
      </c>
      <c r="AJ44" s="699">
        <f t="shared" si="76"/>
        <v>7</v>
      </c>
      <c r="AK44" s="541"/>
      <c r="AL44" s="541"/>
      <c r="AM44" s="700"/>
    </row>
    <row r="45" ht="26.25" customHeight="1">
      <c r="A45" s="679">
        <v>39.0</v>
      </c>
      <c r="B45" s="717" t="s">
        <v>122</v>
      </c>
      <c r="C45" s="703" t="s">
        <v>899</v>
      </c>
      <c r="D45" s="704" t="s">
        <v>866</v>
      </c>
      <c r="E45" s="705">
        <v>2.0</v>
      </c>
      <c r="F45" s="706">
        <v>8.0</v>
      </c>
      <c r="G45" s="707">
        <v>10.0</v>
      </c>
      <c r="H45" s="706">
        <v>0.0</v>
      </c>
      <c r="I45" s="708">
        <v>0.0</v>
      </c>
      <c r="J45" s="706">
        <v>1.0</v>
      </c>
      <c r="K45" s="708">
        <v>3.0</v>
      </c>
      <c r="L45" s="709">
        <v>0.0</v>
      </c>
      <c r="M45" s="710">
        <v>1.0</v>
      </c>
      <c r="N45" s="709">
        <v>0.0</v>
      </c>
      <c r="O45" s="711">
        <v>0.0</v>
      </c>
      <c r="P45" s="709">
        <v>0.0</v>
      </c>
      <c r="Q45" s="710">
        <v>1.0</v>
      </c>
      <c r="R45" s="709">
        <v>0.0</v>
      </c>
      <c r="S45" s="710">
        <v>2.0</v>
      </c>
      <c r="T45" s="709">
        <v>0.0</v>
      </c>
      <c r="U45" s="710">
        <v>0.0</v>
      </c>
      <c r="V45" s="731"/>
      <c r="W45" s="732"/>
      <c r="X45" s="731"/>
      <c r="Y45" s="732"/>
      <c r="Z45" s="731"/>
      <c r="AA45" s="732"/>
      <c r="AB45" s="731"/>
      <c r="AC45" s="732"/>
      <c r="AD45" s="731"/>
      <c r="AE45" s="732"/>
      <c r="AF45" s="665"/>
      <c r="AG45" s="696">
        <f t="shared" ref="AG45:AH45" si="77">F45+H45+J45+L45+N45+P45+R45+T45+V45+X45+Z45+AB45+AD45</f>
        <v>9</v>
      </c>
      <c r="AH45" s="697">
        <f t="shared" si="77"/>
        <v>17</v>
      </c>
      <c r="AI45" s="698">
        <f t="shared" ref="AI45:AJ45" si="78">J45+H45+L45+N45+P45+R45+T45+V45+X45+Z45+AB45+AD45</f>
        <v>1</v>
      </c>
      <c r="AJ45" s="699">
        <f t="shared" si="78"/>
        <v>7</v>
      </c>
      <c r="AK45" s="541"/>
      <c r="AL45" s="541"/>
      <c r="AM45" s="700"/>
    </row>
    <row r="46" ht="26.25" customHeight="1">
      <c r="A46" s="701">
        <v>40.0</v>
      </c>
      <c r="B46" s="717" t="s">
        <v>126</v>
      </c>
      <c r="C46" s="703" t="s">
        <v>900</v>
      </c>
      <c r="D46" s="704" t="s">
        <v>866</v>
      </c>
      <c r="E46" s="705">
        <v>2.0</v>
      </c>
      <c r="F46" s="706">
        <v>7.0</v>
      </c>
      <c r="G46" s="707">
        <v>12.0</v>
      </c>
      <c r="H46" s="706">
        <v>0.0</v>
      </c>
      <c r="I46" s="708">
        <v>0.0</v>
      </c>
      <c r="J46" s="706">
        <v>1.0</v>
      </c>
      <c r="K46" s="708">
        <v>2.0</v>
      </c>
      <c r="L46" s="709">
        <v>0.0</v>
      </c>
      <c r="M46" s="710">
        <v>2.0</v>
      </c>
      <c r="N46" s="709">
        <v>0.0</v>
      </c>
      <c r="O46" s="711">
        <v>0.0</v>
      </c>
      <c r="P46" s="709">
        <v>0.0</v>
      </c>
      <c r="Q46" s="710">
        <v>0.0</v>
      </c>
      <c r="R46" s="709">
        <v>1.0</v>
      </c>
      <c r="S46" s="710">
        <v>4.0</v>
      </c>
      <c r="T46" s="709">
        <v>0.0</v>
      </c>
      <c r="U46" s="710">
        <v>1.0</v>
      </c>
      <c r="V46" s="731"/>
      <c r="W46" s="732"/>
      <c r="X46" s="731"/>
      <c r="Y46" s="732"/>
      <c r="Z46" s="731"/>
      <c r="AA46" s="732"/>
      <c r="AB46" s="731"/>
      <c r="AC46" s="732"/>
      <c r="AD46" s="731"/>
      <c r="AE46" s="732"/>
      <c r="AF46" s="665"/>
      <c r="AG46" s="696">
        <f t="shared" ref="AG46:AH46" si="79">F46+H46+J46+L46+N46+P46+R46+T46+V46+X46+Z46+AB46+AD46</f>
        <v>9</v>
      </c>
      <c r="AH46" s="697">
        <f t="shared" si="79"/>
        <v>21</v>
      </c>
      <c r="AI46" s="698">
        <f t="shared" ref="AI46:AJ46" si="80">J46+H46+L46+N46+P46+R46+T46+V46+X46+Z46+AB46+AD46</f>
        <v>2</v>
      </c>
      <c r="AJ46" s="699">
        <f t="shared" si="80"/>
        <v>9</v>
      </c>
      <c r="AK46" s="541"/>
      <c r="AL46" s="541"/>
      <c r="AM46" s="700"/>
    </row>
    <row r="47" ht="26.25" customHeight="1">
      <c r="A47" s="679">
        <v>41.0</v>
      </c>
      <c r="B47" s="717" t="s">
        <v>308</v>
      </c>
      <c r="C47" s="703" t="s">
        <v>901</v>
      </c>
      <c r="D47" s="704" t="s">
        <v>866</v>
      </c>
      <c r="E47" s="719">
        <v>2.0</v>
      </c>
      <c r="F47" s="720">
        <v>4.0</v>
      </c>
      <c r="G47" s="721">
        <v>9.0</v>
      </c>
      <c r="H47" s="720">
        <v>0.0</v>
      </c>
      <c r="I47" s="722">
        <v>0.0</v>
      </c>
      <c r="J47" s="706">
        <v>1.0</v>
      </c>
      <c r="K47" s="708">
        <v>2.0</v>
      </c>
      <c r="L47" s="709">
        <v>0.0</v>
      </c>
      <c r="M47" s="710">
        <v>2.0</v>
      </c>
      <c r="N47" s="709">
        <v>0.0</v>
      </c>
      <c r="O47" s="711">
        <v>0.0</v>
      </c>
      <c r="P47" s="709">
        <v>0.0</v>
      </c>
      <c r="Q47" s="710">
        <v>0.0</v>
      </c>
      <c r="R47" s="709">
        <v>0.0</v>
      </c>
      <c r="S47" s="710">
        <v>2.0</v>
      </c>
      <c r="T47" s="709">
        <v>0.0</v>
      </c>
      <c r="U47" s="710">
        <v>0.0</v>
      </c>
      <c r="V47" s="731"/>
      <c r="W47" s="732"/>
      <c r="X47" s="731"/>
      <c r="Y47" s="732"/>
      <c r="Z47" s="731"/>
      <c r="AA47" s="732"/>
      <c r="AB47" s="731"/>
      <c r="AC47" s="732"/>
      <c r="AD47" s="731"/>
      <c r="AE47" s="732"/>
      <c r="AF47" s="665"/>
      <c r="AG47" s="696">
        <f t="shared" ref="AG47:AH47" si="81">F47+H47+J47+L47+N47+P47+R47+T47+V47+X47+Z47+AB47+AD47</f>
        <v>5</v>
      </c>
      <c r="AH47" s="697">
        <f t="shared" si="81"/>
        <v>15</v>
      </c>
      <c r="AI47" s="698">
        <f t="shared" ref="AI47:AJ47" si="82">J47+H47+L47+N47+P47+R47+T47+V47+X47+Z47+AB47+AD47</f>
        <v>1</v>
      </c>
      <c r="AJ47" s="699">
        <f t="shared" si="82"/>
        <v>6</v>
      </c>
      <c r="AK47" s="541"/>
      <c r="AL47" s="541"/>
      <c r="AM47" s="700"/>
    </row>
    <row r="48" ht="26.25" customHeight="1">
      <c r="A48" s="701">
        <v>42.0</v>
      </c>
      <c r="B48" s="717" t="s">
        <v>416</v>
      </c>
      <c r="C48" s="703" t="s">
        <v>902</v>
      </c>
      <c r="D48" s="704" t="s">
        <v>866</v>
      </c>
      <c r="E48" s="705">
        <v>3.0</v>
      </c>
      <c r="F48" s="706">
        <v>7.0</v>
      </c>
      <c r="G48" s="707">
        <v>13.0</v>
      </c>
      <c r="H48" s="706">
        <v>0.0</v>
      </c>
      <c r="I48" s="708">
        <v>0.0</v>
      </c>
      <c r="J48" s="706">
        <v>1.0</v>
      </c>
      <c r="K48" s="708">
        <v>2.0</v>
      </c>
      <c r="L48" s="709">
        <v>0.0</v>
      </c>
      <c r="M48" s="710">
        <v>1.0</v>
      </c>
      <c r="N48" s="709">
        <v>0.0</v>
      </c>
      <c r="O48" s="711">
        <v>0.0</v>
      </c>
      <c r="P48" s="709">
        <v>0.0</v>
      </c>
      <c r="Q48" s="710">
        <v>2.0</v>
      </c>
      <c r="R48" s="709">
        <v>0.0</v>
      </c>
      <c r="S48" s="710">
        <v>2.0</v>
      </c>
      <c r="T48" s="709">
        <v>0.0</v>
      </c>
      <c r="U48" s="710">
        <v>0.0</v>
      </c>
      <c r="V48" s="731"/>
      <c r="W48" s="732"/>
      <c r="X48" s="731"/>
      <c r="Y48" s="732"/>
      <c r="Z48" s="731"/>
      <c r="AA48" s="732"/>
      <c r="AB48" s="731"/>
      <c r="AC48" s="732"/>
      <c r="AD48" s="731"/>
      <c r="AE48" s="732"/>
      <c r="AF48" s="665"/>
      <c r="AG48" s="696">
        <f t="shared" ref="AG48:AH48" si="83">F48+H48+J48+L48+N48+P48+R48+T48+V48+X48+Z48+AB48+AD48</f>
        <v>8</v>
      </c>
      <c r="AH48" s="697">
        <f t="shared" si="83"/>
        <v>20</v>
      </c>
      <c r="AI48" s="698">
        <f t="shared" ref="AI48:AJ48" si="84">J48+H48+L48+N48+P48+R48+T48+V48+X48+Z48+AB48+AD48</f>
        <v>1</v>
      </c>
      <c r="AJ48" s="699">
        <f t="shared" si="84"/>
        <v>7</v>
      </c>
      <c r="AK48" s="541"/>
      <c r="AL48" s="541"/>
      <c r="AM48" s="700"/>
    </row>
    <row r="49" ht="26.25" customHeight="1">
      <c r="A49" s="679">
        <v>43.0</v>
      </c>
      <c r="B49" s="717" t="s">
        <v>903</v>
      </c>
      <c r="C49" s="703" t="s">
        <v>904</v>
      </c>
      <c r="D49" s="704" t="s">
        <v>885</v>
      </c>
      <c r="E49" s="705">
        <v>1.0</v>
      </c>
      <c r="F49" s="706">
        <v>3.0</v>
      </c>
      <c r="G49" s="707">
        <v>0.0</v>
      </c>
      <c r="H49" s="706">
        <v>0.0</v>
      </c>
      <c r="I49" s="708">
        <v>0.0</v>
      </c>
      <c r="J49" s="706">
        <v>1.0</v>
      </c>
      <c r="K49" s="708">
        <v>1.0</v>
      </c>
      <c r="L49" s="709">
        <v>0.0</v>
      </c>
      <c r="M49" s="710">
        <v>1.0</v>
      </c>
      <c r="N49" s="709">
        <v>0.0</v>
      </c>
      <c r="O49" s="711">
        <v>0.0</v>
      </c>
      <c r="P49" s="709">
        <v>0.0</v>
      </c>
      <c r="Q49" s="710">
        <v>0.0</v>
      </c>
      <c r="R49" s="709">
        <v>0.0</v>
      </c>
      <c r="S49" s="710">
        <v>1.0</v>
      </c>
      <c r="T49" s="709">
        <v>0.0</v>
      </c>
      <c r="U49" s="710">
        <v>0.0</v>
      </c>
      <c r="V49" s="731"/>
      <c r="W49" s="732"/>
      <c r="X49" s="731"/>
      <c r="Y49" s="732"/>
      <c r="Z49" s="731"/>
      <c r="AA49" s="732"/>
      <c r="AB49" s="731"/>
      <c r="AC49" s="732"/>
      <c r="AD49" s="731"/>
      <c r="AE49" s="732"/>
      <c r="AF49" s="665"/>
      <c r="AG49" s="696">
        <f t="shared" ref="AG49:AH49" si="85">F49+H49+J49+L49+N49+P49+R49+T49+V49+X49+Z49+AB49+AD49</f>
        <v>4</v>
      </c>
      <c r="AH49" s="697">
        <f t="shared" si="85"/>
        <v>3</v>
      </c>
      <c r="AI49" s="698">
        <f t="shared" ref="AI49:AJ49" si="86">J49+H49+L49+N49+P49+R49+T49+V49+X49+Z49+AB49+AD49</f>
        <v>1</v>
      </c>
      <c r="AJ49" s="699">
        <f t="shared" si="86"/>
        <v>3</v>
      </c>
      <c r="AK49" s="541"/>
      <c r="AL49" s="541"/>
      <c r="AM49" s="700"/>
    </row>
    <row r="50" ht="26.25" customHeight="1">
      <c r="A50" s="701">
        <v>44.0</v>
      </c>
      <c r="B50" s="730" t="s">
        <v>905</v>
      </c>
      <c r="C50" s="703" t="s">
        <v>906</v>
      </c>
      <c r="D50" s="734" t="s">
        <v>907</v>
      </c>
      <c r="E50" s="705">
        <v>1.0</v>
      </c>
      <c r="F50" s="706">
        <v>6.0</v>
      </c>
      <c r="G50" s="707">
        <v>5.0</v>
      </c>
      <c r="H50" s="706">
        <v>0.0</v>
      </c>
      <c r="I50" s="708">
        <v>0.0</v>
      </c>
      <c r="J50" s="706">
        <v>1.0</v>
      </c>
      <c r="K50" s="708">
        <v>2.0</v>
      </c>
      <c r="L50" s="709">
        <v>0.0</v>
      </c>
      <c r="M50" s="710">
        <v>1.0</v>
      </c>
      <c r="N50" s="709">
        <v>0.0</v>
      </c>
      <c r="O50" s="711">
        <v>0.0</v>
      </c>
      <c r="P50" s="709">
        <v>0.0</v>
      </c>
      <c r="Q50" s="710">
        <v>0.0</v>
      </c>
      <c r="R50" s="709">
        <v>1.0</v>
      </c>
      <c r="S50" s="710">
        <v>2.0</v>
      </c>
      <c r="T50" s="709">
        <v>0.0</v>
      </c>
      <c r="U50" s="710">
        <v>0.0</v>
      </c>
      <c r="V50" s="731"/>
      <c r="W50" s="732"/>
      <c r="X50" s="731"/>
      <c r="Y50" s="732"/>
      <c r="Z50" s="731"/>
      <c r="AA50" s="732"/>
      <c r="AB50" s="731"/>
      <c r="AC50" s="732"/>
      <c r="AD50" s="731"/>
      <c r="AE50" s="732"/>
      <c r="AF50" s="665"/>
      <c r="AG50" s="696">
        <f t="shared" ref="AG50:AH50" si="87">F50+H50+J50+L50+N50+P50+R50+T50+V50+X50+Z50+AB50+AD50</f>
        <v>8</v>
      </c>
      <c r="AH50" s="697">
        <f t="shared" si="87"/>
        <v>10</v>
      </c>
      <c r="AI50" s="698">
        <f t="shared" ref="AI50:AJ50" si="88">J50+H50+L50+N50+P50+R50+T50+V50+X50+Z50+AB50+AD50</f>
        <v>2</v>
      </c>
      <c r="AJ50" s="699">
        <f t="shared" si="88"/>
        <v>5</v>
      </c>
      <c r="AK50" s="541"/>
      <c r="AL50" s="541"/>
      <c r="AM50" s="700"/>
    </row>
    <row r="51" ht="26.25" customHeight="1">
      <c r="A51" s="679">
        <v>45.0</v>
      </c>
      <c r="B51" s="702" t="s">
        <v>908</v>
      </c>
      <c r="C51" s="703" t="s">
        <v>909</v>
      </c>
      <c r="D51" s="704" t="s">
        <v>885</v>
      </c>
      <c r="E51" s="705">
        <v>3.0</v>
      </c>
      <c r="F51" s="706">
        <v>19.0</v>
      </c>
      <c r="G51" s="707">
        <v>21.0</v>
      </c>
      <c r="H51" s="706">
        <v>0.0</v>
      </c>
      <c r="I51" s="708">
        <v>0.0</v>
      </c>
      <c r="J51" s="687">
        <v>1.0</v>
      </c>
      <c r="K51" s="688">
        <v>3.0</v>
      </c>
      <c r="L51" s="709">
        <v>0.0</v>
      </c>
      <c r="M51" s="710">
        <v>1.0</v>
      </c>
      <c r="N51" s="709">
        <v>0.0</v>
      </c>
      <c r="O51" s="711">
        <v>0.0</v>
      </c>
      <c r="P51" s="709">
        <v>1.0</v>
      </c>
      <c r="Q51" s="710">
        <v>7.0</v>
      </c>
      <c r="R51" s="709">
        <v>0.0</v>
      </c>
      <c r="S51" s="710">
        <v>2.0</v>
      </c>
      <c r="T51" s="709">
        <v>0.0</v>
      </c>
      <c r="U51" s="710">
        <v>1.0</v>
      </c>
      <c r="V51" s="731"/>
      <c r="W51" s="732"/>
      <c r="X51" s="731"/>
      <c r="Y51" s="732"/>
      <c r="Z51" s="731"/>
      <c r="AA51" s="732"/>
      <c r="AB51" s="731"/>
      <c r="AC51" s="732"/>
      <c r="AD51" s="731"/>
      <c r="AE51" s="732"/>
      <c r="AF51" s="665"/>
      <c r="AG51" s="696">
        <f t="shared" ref="AG51:AH51" si="89">F51+H51+J51+L51+N51+P51+R51+T51+V51+X51+Z51+AB51+AD51</f>
        <v>21</v>
      </c>
      <c r="AH51" s="697">
        <f t="shared" si="89"/>
        <v>35</v>
      </c>
      <c r="AI51" s="698">
        <f t="shared" ref="AI51:AJ51" si="90">J51+H51+L51+N51+P51+R51+T51+V51+X51+Z51+AB51+AD51</f>
        <v>2</v>
      </c>
      <c r="AJ51" s="699">
        <f t="shared" si="90"/>
        <v>14</v>
      </c>
      <c r="AK51" s="541"/>
      <c r="AL51" s="541"/>
      <c r="AM51" s="700"/>
    </row>
    <row r="52" ht="26.25" customHeight="1">
      <c r="A52" s="701">
        <v>46.0</v>
      </c>
      <c r="B52" s="717" t="s">
        <v>426</v>
      </c>
      <c r="C52" s="703" t="s">
        <v>910</v>
      </c>
      <c r="D52" s="704" t="s">
        <v>885</v>
      </c>
      <c r="E52" s="705">
        <v>4.0</v>
      </c>
      <c r="F52" s="706">
        <v>14.0</v>
      </c>
      <c r="G52" s="707">
        <v>85.0</v>
      </c>
      <c r="H52" s="706">
        <v>0.0</v>
      </c>
      <c r="I52" s="708">
        <v>0.0</v>
      </c>
      <c r="J52" s="706">
        <v>1.0</v>
      </c>
      <c r="K52" s="708">
        <v>2.0</v>
      </c>
      <c r="L52" s="709">
        <v>0.0</v>
      </c>
      <c r="M52" s="710">
        <v>3.0</v>
      </c>
      <c r="N52" s="709">
        <v>0.0</v>
      </c>
      <c r="O52" s="711">
        <v>1.0</v>
      </c>
      <c r="P52" s="709">
        <v>1.0</v>
      </c>
      <c r="Q52" s="710">
        <v>3.0</v>
      </c>
      <c r="R52" s="709">
        <v>0.0</v>
      </c>
      <c r="S52" s="710">
        <v>3.0</v>
      </c>
      <c r="T52" s="709">
        <v>0.0</v>
      </c>
      <c r="U52" s="710">
        <v>0.0</v>
      </c>
      <c r="V52" s="731"/>
      <c r="W52" s="732"/>
      <c r="X52" s="731"/>
      <c r="Y52" s="732"/>
      <c r="Z52" s="731"/>
      <c r="AA52" s="732"/>
      <c r="AB52" s="731"/>
      <c r="AC52" s="732"/>
      <c r="AD52" s="731"/>
      <c r="AE52" s="732"/>
      <c r="AF52" s="665"/>
      <c r="AG52" s="696">
        <f t="shared" ref="AG52:AH52" si="91">F52+H52+J52+L52+N52+P52+R52+T52+V52+X52+Z52+AB52+AD52</f>
        <v>16</v>
      </c>
      <c r="AH52" s="697">
        <f t="shared" si="91"/>
        <v>97</v>
      </c>
      <c r="AI52" s="698">
        <f t="shared" ref="AI52:AJ52" si="92">J52+H52+L52+N52+P52+R52+T52+V52+X52+Z52+AB52+AD52</f>
        <v>2</v>
      </c>
      <c r="AJ52" s="699">
        <f t="shared" si="92"/>
        <v>12</v>
      </c>
      <c r="AK52" s="541"/>
      <c r="AL52" s="541"/>
      <c r="AM52" s="700"/>
    </row>
    <row r="53" ht="26.25" customHeight="1">
      <c r="A53" s="679">
        <v>47.0</v>
      </c>
      <c r="B53" s="717" t="s">
        <v>390</v>
      </c>
      <c r="C53" s="703" t="s">
        <v>911</v>
      </c>
      <c r="D53" s="704" t="s">
        <v>864</v>
      </c>
      <c r="E53" s="719">
        <v>4.0</v>
      </c>
      <c r="F53" s="720">
        <v>16.0</v>
      </c>
      <c r="G53" s="721">
        <v>30.0</v>
      </c>
      <c r="H53" s="720">
        <v>0.0</v>
      </c>
      <c r="I53" s="722">
        <v>0.0</v>
      </c>
      <c r="J53" s="706">
        <v>1.0</v>
      </c>
      <c r="K53" s="708">
        <v>2.0</v>
      </c>
      <c r="L53" s="709">
        <v>0.0</v>
      </c>
      <c r="M53" s="710">
        <v>1.0</v>
      </c>
      <c r="N53" s="709">
        <v>0.0</v>
      </c>
      <c r="O53" s="711">
        <v>0.0</v>
      </c>
      <c r="P53" s="709">
        <v>1.0</v>
      </c>
      <c r="Q53" s="710">
        <v>4.0</v>
      </c>
      <c r="R53" s="709">
        <v>0.0</v>
      </c>
      <c r="S53" s="710">
        <v>3.0</v>
      </c>
      <c r="T53" s="709">
        <v>0.0</v>
      </c>
      <c r="U53" s="710">
        <v>1.0</v>
      </c>
      <c r="V53" s="731"/>
      <c r="W53" s="732"/>
      <c r="X53" s="731"/>
      <c r="Y53" s="732"/>
      <c r="Z53" s="731"/>
      <c r="AA53" s="732"/>
      <c r="AB53" s="731"/>
      <c r="AC53" s="732"/>
      <c r="AD53" s="731"/>
      <c r="AE53" s="732"/>
      <c r="AF53" s="665"/>
      <c r="AG53" s="696">
        <f t="shared" ref="AG53:AH53" si="93">F53+H53+J53+L53+N53+P53+R53+T53+V53+X53+Z53+AB53+AD53</f>
        <v>18</v>
      </c>
      <c r="AH53" s="697">
        <f t="shared" si="93"/>
        <v>41</v>
      </c>
      <c r="AI53" s="698">
        <f t="shared" ref="AI53:AJ53" si="94">J53+H53+L53+N53+P53+R53+T53+V53+X53+Z53+AB53+AD53</f>
        <v>2</v>
      </c>
      <c r="AJ53" s="699">
        <f t="shared" si="94"/>
        <v>11</v>
      </c>
      <c r="AK53" s="541"/>
      <c r="AL53" s="541"/>
      <c r="AM53" s="700"/>
    </row>
    <row r="54" ht="26.25" customHeight="1">
      <c r="A54" s="701">
        <v>48.0</v>
      </c>
      <c r="B54" s="717" t="s">
        <v>123</v>
      </c>
      <c r="C54" s="703" t="s">
        <v>912</v>
      </c>
      <c r="D54" s="704" t="s">
        <v>864</v>
      </c>
      <c r="E54" s="705">
        <v>4.0</v>
      </c>
      <c r="F54" s="706">
        <v>13.0</v>
      </c>
      <c r="G54" s="707">
        <v>29.0</v>
      </c>
      <c r="H54" s="706">
        <v>0.0</v>
      </c>
      <c r="I54" s="708">
        <v>0.0</v>
      </c>
      <c r="J54" s="706">
        <v>1.0</v>
      </c>
      <c r="K54" s="708">
        <v>3.0</v>
      </c>
      <c r="L54" s="709">
        <v>0.0</v>
      </c>
      <c r="M54" s="710">
        <v>1.0</v>
      </c>
      <c r="N54" s="709">
        <v>0.0</v>
      </c>
      <c r="O54" s="711">
        <v>0.0</v>
      </c>
      <c r="P54" s="709">
        <v>1.0</v>
      </c>
      <c r="Q54" s="710">
        <v>3.0</v>
      </c>
      <c r="R54" s="709">
        <v>0.0</v>
      </c>
      <c r="S54" s="710">
        <v>3.0</v>
      </c>
      <c r="T54" s="709">
        <v>0.0</v>
      </c>
      <c r="U54" s="710">
        <v>1.0</v>
      </c>
      <c r="V54" s="731"/>
      <c r="W54" s="732"/>
      <c r="X54" s="731"/>
      <c r="Y54" s="732"/>
      <c r="Z54" s="731"/>
      <c r="AA54" s="732"/>
      <c r="AB54" s="731"/>
      <c r="AC54" s="732"/>
      <c r="AD54" s="731"/>
      <c r="AE54" s="732"/>
      <c r="AF54" s="665"/>
      <c r="AG54" s="696">
        <f t="shared" ref="AG54:AH54" si="95">F54+H54+J54+L54+N54+P54+R54+T54+V54+X54+Z54+AB54+AD54</f>
        <v>15</v>
      </c>
      <c r="AH54" s="697">
        <f t="shared" si="95"/>
        <v>40</v>
      </c>
      <c r="AI54" s="698">
        <f t="shared" ref="AI54:AJ54" si="96">J54+H54+L54+N54+P54+R54+T54+V54+X54+Z54+AB54+AD54</f>
        <v>2</v>
      </c>
      <c r="AJ54" s="699">
        <f t="shared" si="96"/>
        <v>11</v>
      </c>
      <c r="AK54" s="541"/>
      <c r="AL54" s="541"/>
      <c r="AM54" s="700"/>
    </row>
    <row r="55" ht="26.25" customHeight="1">
      <c r="A55" s="679">
        <v>49.0</v>
      </c>
      <c r="B55" s="717" t="s">
        <v>551</v>
      </c>
      <c r="C55" s="717" t="s">
        <v>913</v>
      </c>
      <c r="D55" s="704" t="s">
        <v>898</v>
      </c>
      <c r="E55" s="705">
        <v>0.0</v>
      </c>
      <c r="F55" s="706">
        <v>0.0</v>
      </c>
      <c r="G55" s="707">
        <v>0.0</v>
      </c>
      <c r="H55" s="706">
        <v>0.0</v>
      </c>
      <c r="I55" s="708">
        <v>0.0</v>
      </c>
      <c r="J55" s="706">
        <v>0.0</v>
      </c>
      <c r="K55" s="708">
        <v>0.0</v>
      </c>
      <c r="L55" s="709">
        <v>0.0</v>
      </c>
      <c r="M55" s="710">
        <v>0.0</v>
      </c>
      <c r="N55" s="709">
        <v>0.0</v>
      </c>
      <c r="O55" s="711">
        <v>0.0</v>
      </c>
      <c r="P55" s="709">
        <v>0.0</v>
      </c>
      <c r="Q55" s="710">
        <v>0.0</v>
      </c>
      <c r="R55" s="709">
        <v>0.0</v>
      </c>
      <c r="S55" s="710">
        <v>0.0</v>
      </c>
      <c r="T55" s="709">
        <v>0.0</v>
      </c>
      <c r="U55" s="710">
        <v>0.0</v>
      </c>
      <c r="V55" s="731"/>
      <c r="W55" s="732"/>
      <c r="X55" s="731"/>
      <c r="Y55" s="732"/>
      <c r="Z55" s="731"/>
      <c r="AA55" s="732"/>
      <c r="AB55" s="731"/>
      <c r="AC55" s="732"/>
      <c r="AD55" s="731"/>
      <c r="AE55" s="732"/>
      <c r="AF55" s="665"/>
      <c r="AG55" s="696">
        <f t="shared" ref="AG55:AH55" si="97">F55+H55+J55+L55+N55+P55+R55+T55+V55+X55+Z55+AB55+AD55</f>
        <v>0</v>
      </c>
      <c r="AH55" s="697">
        <f t="shared" si="97"/>
        <v>0</v>
      </c>
      <c r="AI55" s="698">
        <f t="shared" ref="AI55:AJ55" si="98">J55+H55+L55+N55+P55+R55+T55+V55+X55+Z55+AB55+AD55</f>
        <v>0</v>
      </c>
      <c r="AJ55" s="699">
        <f t="shared" si="98"/>
        <v>0</v>
      </c>
      <c r="AK55" s="541"/>
      <c r="AL55" s="541"/>
      <c r="AM55" s="700"/>
    </row>
    <row r="56" ht="26.25" customHeight="1">
      <c r="A56" s="701">
        <v>50.0</v>
      </c>
      <c r="B56" s="717" t="s">
        <v>552</v>
      </c>
      <c r="C56" s="703" t="s">
        <v>914</v>
      </c>
      <c r="D56" s="704" t="s">
        <v>885</v>
      </c>
      <c r="E56" s="705">
        <v>0.0</v>
      </c>
      <c r="F56" s="706">
        <v>1.0</v>
      </c>
      <c r="G56" s="707">
        <v>3.0</v>
      </c>
      <c r="H56" s="706">
        <v>0.0</v>
      </c>
      <c r="I56" s="708">
        <v>0.0</v>
      </c>
      <c r="J56" s="706">
        <v>0.0</v>
      </c>
      <c r="K56" s="708">
        <v>0.0</v>
      </c>
      <c r="L56" s="709">
        <v>0.0</v>
      </c>
      <c r="M56" s="710">
        <v>0.0</v>
      </c>
      <c r="N56" s="709">
        <v>0.0</v>
      </c>
      <c r="O56" s="711">
        <v>0.0</v>
      </c>
      <c r="P56" s="709">
        <v>0.0</v>
      </c>
      <c r="Q56" s="710">
        <v>0.0</v>
      </c>
      <c r="R56" s="709">
        <v>0.0</v>
      </c>
      <c r="S56" s="710">
        <v>0.0</v>
      </c>
      <c r="T56" s="709">
        <v>0.0</v>
      </c>
      <c r="U56" s="710">
        <v>0.0</v>
      </c>
      <c r="V56" s="731"/>
      <c r="W56" s="732"/>
      <c r="X56" s="731"/>
      <c r="Y56" s="732"/>
      <c r="Z56" s="731"/>
      <c r="AA56" s="732"/>
      <c r="AB56" s="731"/>
      <c r="AC56" s="732"/>
      <c r="AD56" s="731"/>
      <c r="AE56" s="732"/>
      <c r="AF56" s="665"/>
      <c r="AG56" s="696">
        <f t="shared" ref="AG56:AH56" si="99">F56+H56+J56+L56+N56+P56+R56+T56+V56+X56+Z56+AB56+AD56</f>
        <v>1</v>
      </c>
      <c r="AH56" s="697">
        <f t="shared" si="99"/>
        <v>3</v>
      </c>
      <c r="AI56" s="698">
        <f t="shared" ref="AI56:AJ56" si="100">J56+H56+L56+N56+P56+R56+T56+V56+X56+Z56+AB56+AD56</f>
        <v>0</v>
      </c>
      <c r="AJ56" s="699">
        <f t="shared" si="100"/>
        <v>0</v>
      </c>
      <c r="AK56" s="541"/>
      <c r="AL56" s="735" t="s">
        <v>915</v>
      </c>
      <c r="AM56" s="700"/>
    </row>
    <row r="57" ht="26.25" customHeight="1">
      <c r="A57" s="679">
        <v>51.0</v>
      </c>
      <c r="B57" s="717" t="s">
        <v>461</v>
      </c>
      <c r="C57" s="703" t="s">
        <v>916</v>
      </c>
      <c r="D57" s="704" t="s">
        <v>885</v>
      </c>
      <c r="E57" s="705">
        <v>1.0</v>
      </c>
      <c r="F57" s="706">
        <v>1.0</v>
      </c>
      <c r="G57" s="707">
        <v>0.0</v>
      </c>
      <c r="H57" s="706">
        <v>0.0</v>
      </c>
      <c r="I57" s="708">
        <v>0.0</v>
      </c>
      <c r="J57" s="706">
        <v>0.0</v>
      </c>
      <c r="K57" s="708">
        <v>0.0</v>
      </c>
      <c r="L57" s="709">
        <v>0.0</v>
      </c>
      <c r="M57" s="710">
        <v>0.0</v>
      </c>
      <c r="N57" s="709">
        <v>0.0</v>
      </c>
      <c r="O57" s="711">
        <v>0.0</v>
      </c>
      <c r="P57" s="709">
        <v>0.0</v>
      </c>
      <c r="Q57" s="710">
        <v>0.0</v>
      </c>
      <c r="R57" s="709">
        <v>0.0</v>
      </c>
      <c r="S57" s="710">
        <v>1.0</v>
      </c>
      <c r="T57" s="709">
        <v>0.0</v>
      </c>
      <c r="U57" s="710">
        <v>0.0</v>
      </c>
      <c r="V57" s="731"/>
      <c r="W57" s="732"/>
      <c r="X57" s="731"/>
      <c r="Y57" s="732"/>
      <c r="Z57" s="731"/>
      <c r="AA57" s="732"/>
      <c r="AB57" s="731"/>
      <c r="AC57" s="732"/>
      <c r="AD57" s="731"/>
      <c r="AE57" s="732"/>
      <c r="AF57" s="665"/>
      <c r="AG57" s="696">
        <f t="shared" ref="AG57:AH57" si="101">F57+H57+J57+L57+N57+P57+R57+T57+V57+X57+Z57+AB57+AD57</f>
        <v>1</v>
      </c>
      <c r="AH57" s="697">
        <f t="shared" si="101"/>
        <v>1</v>
      </c>
      <c r="AI57" s="698">
        <f t="shared" ref="AI57:AJ57" si="102">J57+H57+L57+N57+P57+R57+T57+V57+X57+Z57+AB57+AD57</f>
        <v>0</v>
      </c>
      <c r="AJ57" s="699">
        <f t="shared" si="102"/>
        <v>1</v>
      </c>
      <c r="AK57" s="541"/>
      <c r="AL57" s="541"/>
      <c r="AM57" s="700"/>
    </row>
    <row r="58" ht="26.25" customHeight="1">
      <c r="A58" s="701">
        <v>52.0</v>
      </c>
      <c r="B58" s="717" t="s">
        <v>553</v>
      </c>
      <c r="C58" s="733" t="s">
        <v>915</v>
      </c>
      <c r="D58" s="704" t="s">
        <v>864</v>
      </c>
      <c r="E58" s="705">
        <v>0.0</v>
      </c>
      <c r="F58" s="706">
        <v>1.0</v>
      </c>
      <c r="G58" s="707">
        <v>0.0</v>
      </c>
      <c r="H58" s="706">
        <v>0.0</v>
      </c>
      <c r="I58" s="708">
        <v>0.0</v>
      </c>
      <c r="J58" s="687">
        <v>0.0</v>
      </c>
      <c r="K58" s="688">
        <v>0.0</v>
      </c>
      <c r="L58" s="709">
        <v>0.0</v>
      </c>
      <c r="M58" s="710">
        <v>0.0</v>
      </c>
      <c r="N58" s="709">
        <v>0.0</v>
      </c>
      <c r="O58" s="711">
        <v>0.0</v>
      </c>
      <c r="P58" s="709">
        <v>0.0</v>
      </c>
      <c r="Q58" s="710">
        <v>0.0</v>
      </c>
      <c r="R58" s="709">
        <v>0.0</v>
      </c>
      <c r="S58" s="710">
        <v>0.0</v>
      </c>
      <c r="T58" s="709">
        <v>0.0</v>
      </c>
      <c r="U58" s="710">
        <v>0.0</v>
      </c>
      <c r="V58" s="731"/>
      <c r="W58" s="732"/>
      <c r="X58" s="731"/>
      <c r="Y58" s="732"/>
      <c r="Z58" s="731"/>
      <c r="AA58" s="732"/>
      <c r="AB58" s="731"/>
      <c r="AC58" s="732"/>
      <c r="AD58" s="731"/>
      <c r="AE58" s="732"/>
      <c r="AF58" s="665"/>
      <c r="AG58" s="696">
        <f t="shared" ref="AG58:AH58" si="103">F58+H58+J58+L58+N58+P58+R58+T58+V58+X58+Z58+AB58+AD58</f>
        <v>1</v>
      </c>
      <c r="AH58" s="697">
        <f t="shared" si="103"/>
        <v>0</v>
      </c>
      <c r="AI58" s="698">
        <f t="shared" ref="AI58:AJ58" si="104">J58+H58+L58+N58+P58+R58+T58+V58+X58+Z58+AB58+AD58</f>
        <v>0</v>
      </c>
      <c r="AJ58" s="699">
        <f t="shared" si="104"/>
        <v>0</v>
      </c>
      <c r="AK58" s="541"/>
      <c r="AL58" s="541"/>
      <c r="AM58" s="700"/>
    </row>
    <row r="59" ht="26.25" customHeight="1">
      <c r="A59" s="679">
        <v>53.0</v>
      </c>
      <c r="B59" s="717" t="s">
        <v>917</v>
      </c>
      <c r="C59" s="703" t="s">
        <v>918</v>
      </c>
      <c r="D59" s="704" t="s">
        <v>864</v>
      </c>
      <c r="E59" s="705">
        <v>2.0</v>
      </c>
      <c r="F59" s="706">
        <v>3.0</v>
      </c>
      <c r="G59" s="707">
        <v>9.0</v>
      </c>
      <c r="H59" s="706">
        <v>0.0</v>
      </c>
      <c r="I59" s="708">
        <v>0.0</v>
      </c>
      <c r="J59" s="687">
        <v>0.0</v>
      </c>
      <c r="K59" s="688">
        <v>1.0</v>
      </c>
      <c r="L59" s="709">
        <v>0.0</v>
      </c>
      <c r="M59" s="710">
        <v>0.0</v>
      </c>
      <c r="N59" s="709">
        <v>0.0</v>
      </c>
      <c r="O59" s="711">
        <v>0.0</v>
      </c>
      <c r="P59" s="709">
        <v>0.0</v>
      </c>
      <c r="Q59" s="710">
        <v>1.0</v>
      </c>
      <c r="R59" s="709">
        <v>0.0</v>
      </c>
      <c r="S59" s="710">
        <v>1.0</v>
      </c>
      <c r="T59" s="709">
        <v>0.0</v>
      </c>
      <c r="U59" s="710">
        <v>0.0</v>
      </c>
      <c r="V59" s="731"/>
      <c r="W59" s="732"/>
      <c r="X59" s="731"/>
      <c r="Y59" s="732"/>
      <c r="Z59" s="731"/>
      <c r="AA59" s="732"/>
      <c r="AB59" s="731"/>
      <c r="AC59" s="732"/>
      <c r="AD59" s="731"/>
      <c r="AE59" s="732"/>
      <c r="AF59" s="665"/>
      <c r="AG59" s="696">
        <f t="shared" ref="AG59:AH59" si="105">F59+H59+J59+L59+N59+P59+R59+T59+V59+X59+Z59+AB59+AD59</f>
        <v>3</v>
      </c>
      <c r="AH59" s="697">
        <f t="shared" si="105"/>
        <v>12</v>
      </c>
      <c r="AI59" s="698">
        <f t="shared" ref="AI59:AJ59" si="106">J59+H59+L59+N59+P59+R59+T59+V59+X59+Z59+AB59+AD59</f>
        <v>0</v>
      </c>
      <c r="AJ59" s="699">
        <f t="shared" si="106"/>
        <v>3</v>
      </c>
      <c r="AK59" s="541"/>
      <c r="AL59" s="541"/>
      <c r="AM59" s="700"/>
    </row>
    <row r="60" ht="26.25" customHeight="1">
      <c r="A60" s="701">
        <v>54.0</v>
      </c>
      <c r="B60" s="717" t="s">
        <v>448</v>
      </c>
      <c r="C60" s="717" t="s">
        <v>913</v>
      </c>
      <c r="D60" s="704" t="s">
        <v>866</v>
      </c>
      <c r="E60" s="705">
        <v>0.0</v>
      </c>
      <c r="F60" s="706">
        <v>0.0</v>
      </c>
      <c r="G60" s="707">
        <v>0.0</v>
      </c>
      <c r="H60" s="706">
        <v>0.0</v>
      </c>
      <c r="I60" s="708">
        <v>0.0</v>
      </c>
      <c r="J60" s="706">
        <v>0.0</v>
      </c>
      <c r="K60" s="708">
        <v>0.0</v>
      </c>
      <c r="L60" s="709">
        <v>0.0</v>
      </c>
      <c r="M60" s="710">
        <v>0.0</v>
      </c>
      <c r="N60" s="709">
        <v>0.0</v>
      </c>
      <c r="O60" s="711">
        <v>0.0</v>
      </c>
      <c r="P60" s="709">
        <v>0.0</v>
      </c>
      <c r="Q60" s="710">
        <v>0.0</v>
      </c>
      <c r="R60" s="709">
        <v>0.0</v>
      </c>
      <c r="S60" s="710">
        <v>0.0</v>
      </c>
      <c r="T60" s="709">
        <v>0.0</v>
      </c>
      <c r="U60" s="710">
        <v>0.0</v>
      </c>
      <c r="V60" s="731"/>
      <c r="W60" s="732"/>
      <c r="X60" s="731"/>
      <c r="Y60" s="732"/>
      <c r="Z60" s="731"/>
      <c r="AA60" s="732"/>
      <c r="AB60" s="731"/>
      <c r="AC60" s="732"/>
      <c r="AD60" s="731"/>
      <c r="AE60" s="732"/>
      <c r="AF60" s="665"/>
      <c r="AG60" s="696">
        <f t="shared" ref="AG60:AH60" si="107">F60+H60+J60+L60+N60+P60+R60+T60+V60+X60+Z60+AB60+AD60</f>
        <v>0</v>
      </c>
      <c r="AH60" s="697">
        <f t="shared" si="107"/>
        <v>0</v>
      </c>
      <c r="AI60" s="698">
        <f t="shared" ref="AI60:AJ60" si="108">J60+H60+L60+N60+P60+R60+T60+V60+X60+Z60+AB60+AD60</f>
        <v>0</v>
      </c>
      <c r="AJ60" s="699">
        <f t="shared" si="108"/>
        <v>0</v>
      </c>
      <c r="AK60" s="541"/>
      <c r="AL60" s="541"/>
      <c r="AM60" s="700"/>
    </row>
    <row r="61" ht="26.25" customHeight="1">
      <c r="A61" s="679">
        <v>55.0</v>
      </c>
      <c r="B61" s="717" t="s">
        <v>447</v>
      </c>
      <c r="C61" s="717" t="s">
        <v>913</v>
      </c>
      <c r="D61" s="704" t="s">
        <v>866</v>
      </c>
      <c r="E61" s="705">
        <v>0.0</v>
      </c>
      <c r="F61" s="706">
        <v>0.0</v>
      </c>
      <c r="G61" s="707">
        <v>0.0</v>
      </c>
      <c r="H61" s="706">
        <v>0.0</v>
      </c>
      <c r="I61" s="708">
        <v>0.0</v>
      </c>
      <c r="J61" s="706">
        <v>0.0</v>
      </c>
      <c r="K61" s="708">
        <v>0.0</v>
      </c>
      <c r="L61" s="709">
        <v>0.0</v>
      </c>
      <c r="M61" s="710">
        <v>0.0</v>
      </c>
      <c r="N61" s="709">
        <v>0.0</v>
      </c>
      <c r="O61" s="711">
        <v>0.0</v>
      </c>
      <c r="P61" s="709">
        <v>0.0</v>
      </c>
      <c r="Q61" s="710">
        <v>0.0</v>
      </c>
      <c r="R61" s="709">
        <v>0.0</v>
      </c>
      <c r="S61" s="710">
        <v>0.0</v>
      </c>
      <c r="T61" s="709">
        <v>0.0</v>
      </c>
      <c r="U61" s="710">
        <v>0.0</v>
      </c>
      <c r="V61" s="731"/>
      <c r="W61" s="732"/>
      <c r="X61" s="731"/>
      <c r="Y61" s="732"/>
      <c r="Z61" s="731"/>
      <c r="AA61" s="732"/>
      <c r="AB61" s="731"/>
      <c r="AC61" s="732"/>
      <c r="AD61" s="731"/>
      <c r="AE61" s="732"/>
      <c r="AF61" s="665"/>
      <c r="AG61" s="696">
        <f t="shared" ref="AG61:AH61" si="109">F61+H61+J61+L61+N61+P61+R61+T61+V61+X61+Z61+AB61+AD61</f>
        <v>0</v>
      </c>
      <c r="AH61" s="697">
        <f t="shared" si="109"/>
        <v>0</v>
      </c>
      <c r="AI61" s="698">
        <f t="shared" ref="AI61:AJ61" si="110">J61+H61+L61+N61+P61+R61+T61+V61+X61+Z61+AB61+AD61</f>
        <v>0</v>
      </c>
      <c r="AJ61" s="699">
        <f t="shared" si="110"/>
        <v>0</v>
      </c>
      <c r="AK61" s="541"/>
      <c r="AL61" s="541"/>
      <c r="AM61" s="700"/>
    </row>
    <row r="62" ht="26.25" customHeight="1">
      <c r="A62" s="701">
        <v>56.0</v>
      </c>
      <c r="B62" s="717" t="s">
        <v>449</v>
      </c>
      <c r="C62" s="717" t="s">
        <v>913</v>
      </c>
      <c r="D62" s="704" t="s">
        <v>866</v>
      </c>
      <c r="E62" s="705">
        <v>0.0</v>
      </c>
      <c r="F62" s="706">
        <v>0.0</v>
      </c>
      <c r="G62" s="707">
        <v>0.0</v>
      </c>
      <c r="H62" s="706">
        <v>0.0</v>
      </c>
      <c r="I62" s="708">
        <v>0.0</v>
      </c>
      <c r="J62" s="706">
        <v>0.0</v>
      </c>
      <c r="K62" s="708">
        <v>0.0</v>
      </c>
      <c r="L62" s="709">
        <v>0.0</v>
      </c>
      <c r="M62" s="710">
        <v>0.0</v>
      </c>
      <c r="N62" s="709">
        <v>0.0</v>
      </c>
      <c r="O62" s="711">
        <v>0.0</v>
      </c>
      <c r="P62" s="709">
        <v>0.0</v>
      </c>
      <c r="Q62" s="710">
        <v>0.0</v>
      </c>
      <c r="R62" s="709">
        <v>0.0</v>
      </c>
      <c r="S62" s="710">
        <v>0.0</v>
      </c>
      <c r="T62" s="709">
        <v>0.0</v>
      </c>
      <c r="U62" s="710">
        <v>0.0</v>
      </c>
      <c r="V62" s="731"/>
      <c r="W62" s="732"/>
      <c r="X62" s="731"/>
      <c r="Y62" s="732"/>
      <c r="Z62" s="731"/>
      <c r="AA62" s="732"/>
      <c r="AB62" s="731"/>
      <c r="AC62" s="732"/>
      <c r="AD62" s="731"/>
      <c r="AE62" s="732"/>
      <c r="AF62" s="665"/>
      <c r="AG62" s="696">
        <f t="shared" ref="AG62:AH62" si="111">F62+H62+J62+L62+N62+P62+R62+T62+V62+X62+Z62+AB62+AD62</f>
        <v>0</v>
      </c>
      <c r="AH62" s="697">
        <f t="shared" si="111"/>
        <v>0</v>
      </c>
      <c r="AI62" s="698">
        <f t="shared" ref="AI62:AJ62" si="112">J62+H62+L62+N62+P62+R62+T62+V62+X62+Z62+AB62+AD62</f>
        <v>0</v>
      </c>
      <c r="AJ62" s="699">
        <f t="shared" si="112"/>
        <v>0</v>
      </c>
      <c r="AK62" s="541"/>
      <c r="AL62" s="541"/>
      <c r="AM62" s="700"/>
    </row>
    <row r="63" ht="26.25" customHeight="1">
      <c r="A63" s="679">
        <v>57.0</v>
      </c>
      <c r="B63" s="717" t="s">
        <v>919</v>
      </c>
      <c r="C63" s="703" t="s">
        <v>920</v>
      </c>
      <c r="D63" s="704" t="s">
        <v>866</v>
      </c>
      <c r="E63" s="705">
        <v>0.0</v>
      </c>
      <c r="F63" s="706">
        <v>1.0</v>
      </c>
      <c r="G63" s="707">
        <v>0.0</v>
      </c>
      <c r="H63" s="706">
        <v>0.0</v>
      </c>
      <c r="I63" s="708">
        <v>0.0</v>
      </c>
      <c r="J63" s="706">
        <v>0.0</v>
      </c>
      <c r="K63" s="708">
        <v>0.0</v>
      </c>
      <c r="L63" s="709">
        <v>0.0</v>
      </c>
      <c r="M63" s="710">
        <v>0.0</v>
      </c>
      <c r="N63" s="709">
        <v>0.0</v>
      </c>
      <c r="O63" s="711">
        <v>0.0</v>
      </c>
      <c r="P63" s="709">
        <v>0.0</v>
      </c>
      <c r="Q63" s="710">
        <v>0.0</v>
      </c>
      <c r="R63" s="709">
        <v>0.0</v>
      </c>
      <c r="S63" s="710">
        <v>0.0</v>
      </c>
      <c r="T63" s="709">
        <v>0.0</v>
      </c>
      <c r="U63" s="710">
        <v>0.0</v>
      </c>
      <c r="V63" s="731"/>
      <c r="W63" s="732"/>
      <c r="X63" s="731"/>
      <c r="Y63" s="732"/>
      <c r="Z63" s="731"/>
      <c r="AA63" s="732"/>
      <c r="AB63" s="731"/>
      <c r="AC63" s="732"/>
      <c r="AD63" s="731"/>
      <c r="AE63" s="732"/>
      <c r="AF63" s="665"/>
      <c r="AG63" s="696">
        <f t="shared" ref="AG63:AH63" si="113">F63+H63+J63+L63+N63+P63+R63+T63+V63+X63+Z63+AB63+AD63</f>
        <v>1</v>
      </c>
      <c r="AH63" s="697">
        <f t="shared" si="113"/>
        <v>0</v>
      </c>
      <c r="AI63" s="698">
        <f t="shared" ref="AI63:AJ63" si="114">J63+H63+L63+N63+P63+R63+T63+V63+X63+Z63+AB63+AD63</f>
        <v>0</v>
      </c>
      <c r="AJ63" s="699">
        <f t="shared" si="114"/>
        <v>0</v>
      </c>
      <c r="AK63" s="541"/>
      <c r="AL63" s="541"/>
      <c r="AM63" s="700"/>
    </row>
    <row r="64" ht="26.25" customHeight="1">
      <c r="A64" s="701">
        <v>58.0</v>
      </c>
      <c r="B64" s="717" t="s">
        <v>443</v>
      </c>
      <c r="C64" s="717" t="s">
        <v>913</v>
      </c>
      <c r="D64" s="704" t="s">
        <v>866</v>
      </c>
      <c r="E64" s="705">
        <v>0.0</v>
      </c>
      <c r="F64" s="706">
        <v>0.0</v>
      </c>
      <c r="G64" s="707">
        <v>0.0</v>
      </c>
      <c r="H64" s="706">
        <v>0.0</v>
      </c>
      <c r="I64" s="708">
        <v>0.0</v>
      </c>
      <c r="J64" s="706">
        <v>0.0</v>
      </c>
      <c r="K64" s="708">
        <v>0.0</v>
      </c>
      <c r="L64" s="709">
        <v>0.0</v>
      </c>
      <c r="M64" s="710">
        <v>0.0</v>
      </c>
      <c r="N64" s="709">
        <v>0.0</v>
      </c>
      <c r="O64" s="711">
        <v>0.0</v>
      </c>
      <c r="P64" s="709">
        <v>0.0</v>
      </c>
      <c r="Q64" s="710">
        <v>0.0</v>
      </c>
      <c r="R64" s="709">
        <v>0.0</v>
      </c>
      <c r="S64" s="710">
        <v>0.0</v>
      </c>
      <c r="T64" s="709">
        <v>0.0</v>
      </c>
      <c r="U64" s="710">
        <v>0.0</v>
      </c>
      <c r="V64" s="731"/>
      <c r="W64" s="732"/>
      <c r="X64" s="731"/>
      <c r="Y64" s="732"/>
      <c r="Z64" s="731"/>
      <c r="AA64" s="732"/>
      <c r="AB64" s="731"/>
      <c r="AC64" s="732"/>
      <c r="AD64" s="731"/>
      <c r="AE64" s="732"/>
      <c r="AF64" s="665"/>
      <c r="AG64" s="696">
        <f t="shared" ref="AG64:AH64" si="115">F64+H64+J64+L64+N64+P64+R64+T64+V64+X64+Z64+AB64+AD64</f>
        <v>0</v>
      </c>
      <c r="AH64" s="697">
        <f t="shared" si="115"/>
        <v>0</v>
      </c>
      <c r="AI64" s="698">
        <f t="shared" ref="AI64:AJ64" si="116">J64+H64+L64+N64+P64+R64+T64+V64+X64+Z64+AB64+AD64</f>
        <v>0</v>
      </c>
      <c r="AJ64" s="699">
        <f t="shared" si="116"/>
        <v>0</v>
      </c>
      <c r="AK64" s="541"/>
      <c r="AL64" s="541"/>
      <c r="AM64" s="700"/>
    </row>
    <row r="65" ht="26.25" customHeight="1">
      <c r="A65" s="679">
        <v>59.0</v>
      </c>
      <c r="B65" s="717" t="s">
        <v>444</v>
      </c>
      <c r="C65" s="717" t="s">
        <v>913</v>
      </c>
      <c r="D65" s="704" t="s">
        <v>866</v>
      </c>
      <c r="E65" s="705">
        <v>0.0</v>
      </c>
      <c r="F65" s="706">
        <v>0.0</v>
      </c>
      <c r="G65" s="707">
        <v>0.0</v>
      </c>
      <c r="H65" s="706">
        <v>0.0</v>
      </c>
      <c r="I65" s="708">
        <v>0.0</v>
      </c>
      <c r="J65" s="706">
        <v>0.0</v>
      </c>
      <c r="K65" s="708">
        <v>0.0</v>
      </c>
      <c r="L65" s="709">
        <v>0.0</v>
      </c>
      <c r="M65" s="710">
        <v>0.0</v>
      </c>
      <c r="N65" s="709">
        <v>0.0</v>
      </c>
      <c r="O65" s="711">
        <v>0.0</v>
      </c>
      <c r="P65" s="709">
        <v>0.0</v>
      </c>
      <c r="Q65" s="710">
        <v>0.0</v>
      </c>
      <c r="R65" s="709">
        <v>0.0</v>
      </c>
      <c r="S65" s="710">
        <v>0.0</v>
      </c>
      <c r="T65" s="709">
        <v>0.0</v>
      </c>
      <c r="U65" s="710">
        <v>0.0</v>
      </c>
      <c r="V65" s="731"/>
      <c r="W65" s="732"/>
      <c r="X65" s="731"/>
      <c r="Y65" s="732"/>
      <c r="Z65" s="731"/>
      <c r="AA65" s="732"/>
      <c r="AB65" s="731"/>
      <c r="AC65" s="732"/>
      <c r="AD65" s="731"/>
      <c r="AE65" s="732"/>
      <c r="AF65" s="665"/>
      <c r="AG65" s="696">
        <f t="shared" ref="AG65:AH65" si="117">F65+H65+J65+L65+N65+P65+R65+T65+V65+X65+Z65+AB65+AD65</f>
        <v>0</v>
      </c>
      <c r="AH65" s="697">
        <f t="shared" si="117"/>
        <v>0</v>
      </c>
      <c r="AI65" s="698">
        <f t="shared" ref="AI65:AJ65" si="118">J65+H65+L65+N65+P65+R65+T65+V65+X65+Z65+AB65+AD65</f>
        <v>0</v>
      </c>
      <c r="AJ65" s="699">
        <f t="shared" si="118"/>
        <v>0</v>
      </c>
      <c r="AK65" s="541"/>
      <c r="AL65" s="541"/>
      <c r="AM65" s="700"/>
    </row>
    <row r="66" ht="26.25" customHeight="1">
      <c r="A66" s="701">
        <v>60.0</v>
      </c>
      <c r="B66" s="717" t="s">
        <v>53</v>
      </c>
      <c r="C66" s="703" t="s">
        <v>921</v>
      </c>
      <c r="D66" s="704" t="s">
        <v>922</v>
      </c>
      <c r="E66" s="705">
        <v>21.0</v>
      </c>
      <c r="F66" s="706">
        <v>75.0</v>
      </c>
      <c r="G66" s="707">
        <v>1363.0</v>
      </c>
      <c r="H66" s="706">
        <v>0.0</v>
      </c>
      <c r="I66" s="708">
        <v>0.0</v>
      </c>
      <c r="J66" s="706">
        <v>2.0</v>
      </c>
      <c r="K66" s="708">
        <v>50.0</v>
      </c>
      <c r="L66" s="709">
        <v>3.0</v>
      </c>
      <c r="M66" s="710">
        <v>48.0</v>
      </c>
      <c r="N66" s="709">
        <v>1.0</v>
      </c>
      <c r="O66" s="711">
        <v>32.0</v>
      </c>
      <c r="P66" s="709">
        <v>0.0</v>
      </c>
      <c r="Q66" s="710">
        <v>69.0</v>
      </c>
      <c r="R66" s="709">
        <v>0.0</v>
      </c>
      <c r="S66" s="710">
        <v>29.0</v>
      </c>
      <c r="T66" s="709">
        <v>1.0</v>
      </c>
      <c r="U66" s="710">
        <v>63.0</v>
      </c>
      <c r="V66" s="731"/>
      <c r="W66" s="732"/>
      <c r="X66" s="731"/>
      <c r="Y66" s="732"/>
      <c r="Z66" s="731"/>
      <c r="AA66" s="732"/>
      <c r="AB66" s="731"/>
      <c r="AC66" s="732"/>
      <c r="AD66" s="731"/>
      <c r="AE66" s="732"/>
      <c r="AF66" s="665"/>
      <c r="AG66" s="696">
        <f t="shared" ref="AG66:AH66" si="119">F66+H66+J66+L66+N66+P66+R66+T66+V66+X66+Z66+AB66+AD66</f>
        <v>82</v>
      </c>
      <c r="AH66" s="697">
        <f t="shared" si="119"/>
        <v>1654</v>
      </c>
      <c r="AI66" s="698">
        <f t="shared" ref="AI66:AJ66" si="120">J66+H66+L66+N66+P66+R66+T66+V66+X66+Z66+AB66+AD66</f>
        <v>7</v>
      </c>
      <c r="AJ66" s="699">
        <f t="shared" si="120"/>
        <v>291</v>
      </c>
      <c r="AK66" s="736" t="s">
        <v>923</v>
      </c>
      <c r="AL66" s="541"/>
      <c r="AM66" s="700"/>
    </row>
    <row r="67" ht="26.25" customHeight="1">
      <c r="A67" s="679">
        <v>61.0</v>
      </c>
      <c r="B67" s="737" t="s">
        <v>418</v>
      </c>
      <c r="C67" s="738" t="s">
        <v>924</v>
      </c>
      <c r="D67" s="739" t="s">
        <v>846</v>
      </c>
      <c r="E67" s="705">
        <v>2.0</v>
      </c>
      <c r="F67" s="706">
        <v>8.0</v>
      </c>
      <c r="G67" s="707">
        <v>22.0</v>
      </c>
      <c r="H67" s="706">
        <v>0.0</v>
      </c>
      <c r="I67" s="708">
        <v>0.0</v>
      </c>
      <c r="J67" s="706">
        <v>0.0</v>
      </c>
      <c r="K67" s="708">
        <v>0.0</v>
      </c>
      <c r="L67" s="709">
        <v>0.0</v>
      </c>
      <c r="M67" s="710">
        <v>0.0</v>
      </c>
      <c r="N67" s="709">
        <v>0.0</v>
      </c>
      <c r="O67" s="711">
        <v>1.0</v>
      </c>
      <c r="P67" s="709">
        <v>0.0</v>
      </c>
      <c r="Q67" s="710">
        <v>1.0</v>
      </c>
      <c r="R67" s="709">
        <v>0.0</v>
      </c>
      <c r="S67" s="710">
        <v>1.0</v>
      </c>
      <c r="T67" s="709">
        <v>0.0</v>
      </c>
      <c r="U67" s="710">
        <v>0.0</v>
      </c>
      <c r="V67" s="731"/>
      <c r="W67" s="732"/>
      <c r="X67" s="731"/>
      <c r="Y67" s="732"/>
      <c r="Z67" s="731"/>
      <c r="AA67" s="732"/>
      <c r="AB67" s="731"/>
      <c r="AC67" s="732"/>
      <c r="AD67" s="731"/>
      <c r="AE67" s="732"/>
      <c r="AF67" s="665"/>
      <c r="AG67" s="696">
        <f t="shared" ref="AG67:AH67" si="121">F67+H67+J67+L67+N67+P67+R67+T67+V67+X67+Z67+AB67+AD67</f>
        <v>8</v>
      </c>
      <c r="AH67" s="697">
        <f t="shared" si="121"/>
        <v>25</v>
      </c>
      <c r="AI67" s="698">
        <f t="shared" ref="AI67:AJ67" si="122">J67+H67+L67+N67+P67+R67+T67+V67+X67+Z67+AB67+AD67</f>
        <v>0</v>
      </c>
      <c r="AJ67" s="699">
        <f t="shared" si="122"/>
        <v>3</v>
      </c>
      <c r="AK67" s="541"/>
      <c r="AL67" s="541"/>
      <c r="AM67" s="700"/>
    </row>
    <row r="68" ht="26.25" customHeight="1">
      <c r="A68" s="701">
        <v>62.0</v>
      </c>
      <c r="B68" s="737" t="s">
        <v>405</v>
      </c>
      <c r="C68" s="738" t="s">
        <v>925</v>
      </c>
      <c r="D68" s="739" t="s">
        <v>926</v>
      </c>
      <c r="E68" s="705">
        <v>1.0</v>
      </c>
      <c r="F68" s="706">
        <v>1.0</v>
      </c>
      <c r="G68" s="707">
        <v>1.0</v>
      </c>
      <c r="H68" s="706">
        <v>0.0</v>
      </c>
      <c r="I68" s="708">
        <v>0.0</v>
      </c>
      <c r="J68" s="706">
        <v>0.0</v>
      </c>
      <c r="K68" s="708">
        <v>0.0</v>
      </c>
      <c r="L68" s="709">
        <v>0.0</v>
      </c>
      <c r="M68" s="710">
        <v>0.0</v>
      </c>
      <c r="N68" s="709">
        <v>0.0</v>
      </c>
      <c r="O68" s="711">
        <v>0.0</v>
      </c>
      <c r="P68" s="709">
        <v>0.0</v>
      </c>
      <c r="Q68" s="710">
        <v>0.0</v>
      </c>
      <c r="R68" s="709">
        <v>0.0</v>
      </c>
      <c r="S68" s="710">
        <v>0.0</v>
      </c>
      <c r="T68" s="709">
        <v>0.0</v>
      </c>
      <c r="U68" s="710">
        <v>3.0</v>
      </c>
      <c r="V68" s="731"/>
      <c r="W68" s="732"/>
      <c r="X68" s="731"/>
      <c r="Y68" s="732"/>
      <c r="Z68" s="731"/>
      <c r="AA68" s="732"/>
      <c r="AB68" s="731"/>
      <c r="AC68" s="732"/>
      <c r="AD68" s="731"/>
      <c r="AE68" s="732"/>
      <c r="AF68" s="665"/>
      <c r="AG68" s="696">
        <f t="shared" ref="AG68:AH68" si="123">F68+H68+J68+L68+N68+P68+R68+T68+V68+X68+Z68+AB68+AD68</f>
        <v>1</v>
      </c>
      <c r="AH68" s="697">
        <f t="shared" si="123"/>
        <v>4</v>
      </c>
      <c r="AI68" s="698">
        <f t="shared" ref="AI68:AJ68" si="124">J68+H68+L68+N68+P68+R68+T68+V68+X68+Z68+AB68+AD68</f>
        <v>0</v>
      </c>
      <c r="AJ68" s="699">
        <f t="shared" si="124"/>
        <v>3</v>
      </c>
      <c r="AK68" s="541"/>
      <c r="AL68" s="541"/>
      <c r="AM68" s="700"/>
    </row>
    <row r="69" ht="26.25" customHeight="1">
      <c r="A69" s="679">
        <v>63.0</v>
      </c>
      <c r="B69" s="737" t="s">
        <v>217</v>
      </c>
      <c r="C69" s="738" t="s">
        <v>927</v>
      </c>
      <c r="D69" s="739" t="s">
        <v>854</v>
      </c>
      <c r="E69" s="705">
        <v>3.0</v>
      </c>
      <c r="F69" s="706">
        <v>5.0</v>
      </c>
      <c r="G69" s="707">
        <v>23.0</v>
      </c>
      <c r="H69" s="706">
        <v>0.0</v>
      </c>
      <c r="I69" s="708">
        <v>0.0</v>
      </c>
      <c r="J69" s="706">
        <v>0.0</v>
      </c>
      <c r="K69" s="708">
        <v>4.0</v>
      </c>
      <c r="L69" s="709">
        <v>0.0</v>
      </c>
      <c r="M69" s="710">
        <v>3.0</v>
      </c>
      <c r="N69" s="709">
        <v>0.0</v>
      </c>
      <c r="O69" s="711">
        <v>0.0</v>
      </c>
      <c r="P69" s="709">
        <v>0.0</v>
      </c>
      <c r="Q69" s="710">
        <v>3.0</v>
      </c>
      <c r="R69" s="709">
        <v>1.0</v>
      </c>
      <c r="S69" s="710">
        <v>2.0</v>
      </c>
      <c r="T69" s="709">
        <v>0.0</v>
      </c>
      <c r="U69" s="710">
        <v>0.0</v>
      </c>
      <c r="V69" s="731"/>
      <c r="W69" s="732"/>
      <c r="X69" s="731"/>
      <c r="Y69" s="732"/>
      <c r="Z69" s="731"/>
      <c r="AA69" s="732"/>
      <c r="AB69" s="731"/>
      <c r="AC69" s="732"/>
      <c r="AD69" s="731"/>
      <c r="AE69" s="732"/>
      <c r="AF69" s="665"/>
      <c r="AG69" s="696">
        <f t="shared" ref="AG69:AH69" si="125">F69+H69+J69+L69+N69+P69+R69+T69+V69+X69+Z69+AB69+AD69</f>
        <v>6</v>
      </c>
      <c r="AH69" s="697">
        <f t="shared" si="125"/>
        <v>35</v>
      </c>
      <c r="AI69" s="698">
        <f t="shared" ref="AI69:AJ69" si="126">J69+H69+L69+N69+P69+R69+T69+V69+X69+Z69+AB69+AD69</f>
        <v>1</v>
      </c>
      <c r="AJ69" s="699">
        <f t="shared" si="126"/>
        <v>12</v>
      </c>
      <c r="AK69" s="541"/>
      <c r="AL69" s="541"/>
      <c r="AM69" s="700"/>
    </row>
    <row r="70" ht="26.25" customHeight="1">
      <c r="A70" s="701">
        <v>64.0</v>
      </c>
      <c r="B70" s="737" t="s">
        <v>389</v>
      </c>
      <c r="C70" s="738" t="s">
        <v>928</v>
      </c>
      <c r="D70" s="739" t="s">
        <v>854</v>
      </c>
      <c r="E70" s="705">
        <v>5.0</v>
      </c>
      <c r="F70" s="706">
        <v>13.0</v>
      </c>
      <c r="G70" s="707">
        <v>56.0</v>
      </c>
      <c r="H70" s="706">
        <v>0.0</v>
      </c>
      <c r="I70" s="708">
        <v>0.0</v>
      </c>
      <c r="J70" s="706">
        <v>0.0</v>
      </c>
      <c r="K70" s="708">
        <v>1.0</v>
      </c>
      <c r="L70" s="709">
        <v>0.0</v>
      </c>
      <c r="M70" s="710">
        <v>2.0</v>
      </c>
      <c r="N70" s="709">
        <v>0.0</v>
      </c>
      <c r="O70" s="711">
        <v>3.0</v>
      </c>
      <c r="P70" s="709">
        <v>0.0</v>
      </c>
      <c r="Q70" s="710">
        <v>2.0</v>
      </c>
      <c r="R70" s="709">
        <v>0.0</v>
      </c>
      <c r="S70" s="710">
        <v>0.0</v>
      </c>
      <c r="T70" s="709">
        <v>0.0</v>
      </c>
      <c r="U70" s="710">
        <v>2.0</v>
      </c>
      <c r="V70" s="731"/>
      <c r="W70" s="732"/>
      <c r="X70" s="731"/>
      <c r="Y70" s="732"/>
      <c r="Z70" s="731"/>
      <c r="AA70" s="732"/>
      <c r="AB70" s="731"/>
      <c r="AC70" s="732"/>
      <c r="AD70" s="731"/>
      <c r="AE70" s="732"/>
      <c r="AF70" s="665"/>
      <c r="AG70" s="696">
        <f t="shared" ref="AG70:AH70" si="127">F70+H70+J70+L70+N70+P70+R70+T70+V70+X70+Z70+AB70+AD70</f>
        <v>13</v>
      </c>
      <c r="AH70" s="697">
        <f t="shared" si="127"/>
        <v>66</v>
      </c>
      <c r="AI70" s="698">
        <f t="shared" ref="AI70:AJ70" si="128">J70+H70+L70+N70+P70+R70+T70+V70+X70+Z70+AB70+AD70</f>
        <v>0</v>
      </c>
      <c r="AJ70" s="699">
        <f t="shared" si="128"/>
        <v>10</v>
      </c>
      <c r="AK70" s="541"/>
      <c r="AL70" s="541"/>
      <c r="AM70" s="700"/>
    </row>
    <row r="71" ht="26.25" customHeight="1">
      <c r="A71" s="679">
        <v>65.0</v>
      </c>
      <c r="B71" s="737" t="s">
        <v>119</v>
      </c>
      <c r="C71" s="738" t="s">
        <v>929</v>
      </c>
      <c r="D71" s="739" t="s">
        <v>854</v>
      </c>
      <c r="E71" s="705">
        <v>2.0</v>
      </c>
      <c r="F71" s="706">
        <v>4.0</v>
      </c>
      <c r="G71" s="707">
        <v>9.0</v>
      </c>
      <c r="H71" s="706">
        <v>0.0</v>
      </c>
      <c r="I71" s="708">
        <v>0.0</v>
      </c>
      <c r="J71" s="706">
        <v>0.0</v>
      </c>
      <c r="K71" s="708">
        <v>0.0</v>
      </c>
      <c r="L71" s="709">
        <v>0.0</v>
      </c>
      <c r="M71" s="710">
        <v>0.0</v>
      </c>
      <c r="N71" s="709">
        <v>0.0</v>
      </c>
      <c r="O71" s="711">
        <v>0.0</v>
      </c>
      <c r="P71" s="709">
        <v>0.0</v>
      </c>
      <c r="Q71" s="710">
        <v>1.0</v>
      </c>
      <c r="R71" s="709">
        <v>0.0</v>
      </c>
      <c r="S71" s="710">
        <v>0.0</v>
      </c>
      <c r="T71" s="709">
        <v>0.0</v>
      </c>
      <c r="U71" s="710">
        <v>0.0</v>
      </c>
      <c r="V71" s="731"/>
      <c r="W71" s="732"/>
      <c r="X71" s="731"/>
      <c r="Y71" s="732"/>
      <c r="Z71" s="731"/>
      <c r="AA71" s="732"/>
      <c r="AB71" s="731"/>
      <c r="AC71" s="732"/>
      <c r="AD71" s="731"/>
      <c r="AE71" s="732"/>
      <c r="AF71" s="665"/>
      <c r="AG71" s="696">
        <f t="shared" ref="AG71:AH71" si="129">F71+H71+J71+L71+N71+P71+R71+T71+V71+X71+Z71+AB71+AD71</f>
        <v>4</v>
      </c>
      <c r="AH71" s="697">
        <f t="shared" si="129"/>
        <v>10</v>
      </c>
      <c r="AI71" s="698">
        <f t="shared" ref="AI71:AJ71" si="130">J71+H71+L71+N71+P71+R71+T71+V71+X71+Z71+AB71+AD71</f>
        <v>0</v>
      </c>
      <c r="AJ71" s="699">
        <f t="shared" si="130"/>
        <v>1</v>
      </c>
      <c r="AK71" s="541"/>
      <c r="AL71" s="541"/>
      <c r="AM71" s="700" t="s">
        <v>844</v>
      </c>
    </row>
    <row r="72" ht="26.25" customHeight="1">
      <c r="A72" s="701">
        <v>66.0</v>
      </c>
      <c r="B72" s="737" t="s">
        <v>388</v>
      </c>
      <c r="C72" s="738" t="s">
        <v>930</v>
      </c>
      <c r="D72" s="739" t="s">
        <v>861</v>
      </c>
      <c r="E72" s="705">
        <v>2.0</v>
      </c>
      <c r="F72" s="706">
        <v>6.0</v>
      </c>
      <c r="G72" s="707">
        <v>20.0</v>
      </c>
      <c r="H72" s="706">
        <v>0.0</v>
      </c>
      <c r="I72" s="708">
        <v>0.0</v>
      </c>
      <c r="J72" s="706">
        <v>0.0</v>
      </c>
      <c r="K72" s="708">
        <v>0.0</v>
      </c>
      <c r="L72" s="709">
        <v>0.0</v>
      </c>
      <c r="M72" s="710">
        <v>0.0</v>
      </c>
      <c r="N72" s="709">
        <v>0.0</v>
      </c>
      <c r="O72" s="711">
        <v>3.0</v>
      </c>
      <c r="P72" s="712">
        <v>0.0</v>
      </c>
      <c r="Q72" s="713">
        <v>1.0</v>
      </c>
      <c r="R72" s="712">
        <v>0.0</v>
      </c>
      <c r="S72" s="713">
        <v>0.0</v>
      </c>
      <c r="T72" s="712">
        <v>0.0</v>
      </c>
      <c r="U72" s="713">
        <v>0.0</v>
      </c>
      <c r="V72" s="714"/>
      <c r="W72" s="715"/>
      <c r="X72" s="714"/>
      <c r="Y72" s="715"/>
      <c r="Z72" s="714"/>
      <c r="AA72" s="715"/>
      <c r="AB72" s="714"/>
      <c r="AC72" s="715"/>
      <c r="AD72" s="714"/>
      <c r="AE72" s="715"/>
      <c r="AF72" s="665"/>
      <c r="AG72" s="696">
        <f t="shared" ref="AG72:AH72" si="131">F72+H72+J72+L72+N72+P72+R72+T72+V72+X72+Z72+AB72+AD72</f>
        <v>6</v>
      </c>
      <c r="AH72" s="697">
        <f t="shared" si="131"/>
        <v>24</v>
      </c>
      <c r="AI72" s="698">
        <f t="shared" ref="AI72:AJ72" si="132">J72+H72+L72+N72+P72+R72+T72+V72+X72+Z72+AB72+AD72</f>
        <v>0</v>
      </c>
      <c r="AJ72" s="699">
        <f t="shared" si="132"/>
        <v>4</v>
      </c>
      <c r="AK72" s="541"/>
      <c r="AL72" s="541"/>
      <c r="AM72" s="716" t="s">
        <v>855</v>
      </c>
    </row>
    <row r="73" ht="26.25" customHeight="1">
      <c r="A73" s="679">
        <v>67.0</v>
      </c>
      <c r="B73" s="737" t="s">
        <v>319</v>
      </c>
      <c r="C73" s="738" t="s">
        <v>931</v>
      </c>
      <c r="D73" s="739" t="s">
        <v>861</v>
      </c>
      <c r="E73" s="719">
        <v>2.0</v>
      </c>
      <c r="F73" s="720">
        <v>4.0</v>
      </c>
      <c r="G73" s="721">
        <v>31.0</v>
      </c>
      <c r="H73" s="720">
        <v>0.0</v>
      </c>
      <c r="I73" s="722">
        <v>0.0</v>
      </c>
      <c r="J73" s="706">
        <v>0.0</v>
      </c>
      <c r="K73" s="708">
        <v>0.0</v>
      </c>
      <c r="L73" s="709">
        <v>0.0</v>
      </c>
      <c r="M73" s="710">
        <v>0.0</v>
      </c>
      <c r="N73" s="709">
        <v>0.0</v>
      </c>
      <c r="O73" s="711">
        <v>0.0</v>
      </c>
      <c r="P73" s="712">
        <v>0.0</v>
      </c>
      <c r="Q73" s="713">
        <v>1.0</v>
      </c>
      <c r="R73" s="712">
        <v>0.0</v>
      </c>
      <c r="S73" s="713">
        <v>1.0</v>
      </c>
      <c r="T73" s="712">
        <v>1.0</v>
      </c>
      <c r="U73" s="713">
        <v>0.0</v>
      </c>
      <c r="V73" s="714"/>
      <c r="W73" s="715"/>
      <c r="X73" s="714"/>
      <c r="Y73" s="715"/>
      <c r="Z73" s="714"/>
      <c r="AA73" s="715"/>
      <c r="AB73" s="714"/>
      <c r="AC73" s="715"/>
      <c r="AD73" s="714"/>
      <c r="AE73" s="715"/>
      <c r="AF73" s="665"/>
      <c r="AG73" s="696">
        <f t="shared" ref="AG73:AH73" si="133">F73+H73+J73+L73+N73+P73+R73+T73+V73+X73+Z73+AB73+AD73</f>
        <v>5</v>
      </c>
      <c r="AH73" s="697">
        <f t="shared" si="133"/>
        <v>33</v>
      </c>
      <c r="AI73" s="698">
        <f t="shared" ref="AI73:AJ73" si="134">J73+H73+L73+N73+P73+R73+T73+V73+X73+Z73+AB73+AD73</f>
        <v>1</v>
      </c>
      <c r="AJ73" s="699">
        <f t="shared" si="134"/>
        <v>2</v>
      </c>
      <c r="AK73" s="541"/>
      <c r="AL73" s="541"/>
      <c r="AM73" s="716" t="s">
        <v>932</v>
      </c>
    </row>
    <row r="74" ht="26.25" customHeight="1">
      <c r="A74" s="701">
        <v>68.0</v>
      </c>
      <c r="B74" s="737" t="s">
        <v>47</v>
      </c>
      <c r="C74" s="738" t="s">
        <v>933</v>
      </c>
      <c r="D74" s="739" t="s">
        <v>854</v>
      </c>
      <c r="E74" s="705">
        <v>4.0</v>
      </c>
      <c r="F74" s="706">
        <v>13.0</v>
      </c>
      <c r="G74" s="707">
        <v>39.0</v>
      </c>
      <c r="H74" s="706">
        <v>0.0</v>
      </c>
      <c r="I74" s="708">
        <v>0.0</v>
      </c>
      <c r="J74" s="706">
        <v>1.0</v>
      </c>
      <c r="K74" s="708">
        <v>2.0</v>
      </c>
      <c r="L74" s="709">
        <v>1.0</v>
      </c>
      <c r="M74" s="710">
        <v>2.0</v>
      </c>
      <c r="N74" s="709">
        <v>0.0</v>
      </c>
      <c r="O74" s="711">
        <v>2.0</v>
      </c>
      <c r="P74" s="712">
        <v>1.0</v>
      </c>
      <c r="Q74" s="713">
        <v>1.0</v>
      </c>
      <c r="R74" s="712">
        <v>1.0</v>
      </c>
      <c r="S74" s="713">
        <v>2.0</v>
      </c>
      <c r="T74" s="712">
        <v>1.0</v>
      </c>
      <c r="U74" s="713">
        <v>5.0</v>
      </c>
      <c r="V74" s="714"/>
      <c r="W74" s="715"/>
      <c r="X74" s="714"/>
      <c r="Y74" s="715"/>
      <c r="Z74" s="714"/>
      <c r="AA74" s="715"/>
      <c r="AB74" s="714"/>
      <c r="AC74" s="715"/>
      <c r="AD74" s="714"/>
      <c r="AE74" s="715"/>
      <c r="AF74" s="665"/>
      <c r="AG74" s="696">
        <f t="shared" ref="AG74:AH74" si="135">F74+H74+J74+L74+N74+P74+R74+T74+V74+X74+Z74+AB74+AD74</f>
        <v>18</v>
      </c>
      <c r="AH74" s="697">
        <f t="shared" si="135"/>
        <v>53</v>
      </c>
      <c r="AI74" s="698">
        <f t="shared" ref="AI74:AJ74" si="136">J74+H74+L74+N74+P74+R74+T74+V74+X74+Z74+AB74+AD74</f>
        <v>5</v>
      </c>
      <c r="AJ74" s="699">
        <f t="shared" si="136"/>
        <v>14</v>
      </c>
      <c r="AK74" s="541"/>
      <c r="AL74" s="541"/>
      <c r="AM74" s="716" t="s">
        <v>849</v>
      </c>
    </row>
    <row r="75" ht="26.25" customHeight="1">
      <c r="A75" s="679">
        <v>69.0</v>
      </c>
      <c r="B75" s="737" t="s">
        <v>109</v>
      </c>
      <c r="C75" s="738" t="s">
        <v>934</v>
      </c>
      <c r="D75" s="739" t="s">
        <v>864</v>
      </c>
      <c r="E75" s="719">
        <v>5.0</v>
      </c>
      <c r="F75" s="720">
        <v>23.0</v>
      </c>
      <c r="G75" s="721">
        <v>45.0</v>
      </c>
      <c r="H75" s="720">
        <v>0.0</v>
      </c>
      <c r="I75" s="722">
        <v>0.0</v>
      </c>
      <c r="J75" s="706">
        <v>0.0</v>
      </c>
      <c r="K75" s="708">
        <v>3.0</v>
      </c>
      <c r="L75" s="709">
        <v>2.0</v>
      </c>
      <c r="M75" s="710">
        <v>3.0</v>
      </c>
      <c r="N75" s="709">
        <v>1.0</v>
      </c>
      <c r="O75" s="711">
        <v>2.0</v>
      </c>
      <c r="P75" s="712">
        <v>1.0</v>
      </c>
      <c r="Q75" s="713">
        <v>5.0</v>
      </c>
      <c r="R75" s="712">
        <v>0.0</v>
      </c>
      <c r="S75" s="713">
        <v>0.0</v>
      </c>
      <c r="T75" s="712">
        <v>1.0</v>
      </c>
      <c r="U75" s="713">
        <v>4.0</v>
      </c>
      <c r="V75" s="714"/>
      <c r="W75" s="715"/>
      <c r="X75" s="714"/>
      <c r="Y75" s="715"/>
      <c r="Z75" s="714"/>
      <c r="AA75" s="715"/>
      <c r="AB75" s="714"/>
      <c r="AC75" s="715"/>
      <c r="AD75" s="714"/>
      <c r="AE75" s="715"/>
      <c r="AF75" s="665"/>
      <c r="AG75" s="696">
        <f t="shared" ref="AG75:AH75" si="137">F75+H75+J75+L75+N75+P75+R75+T75+V75+X75+Z75+AB75+AD75</f>
        <v>28</v>
      </c>
      <c r="AH75" s="697">
        <f t="shared" si="137"/>
        <v>62</v>
      </c>
      <c r="AI75" s="698">
        <f t="shared" ref="AI75:AJ75" si="138">J75+H75+L75+N75+P75+R75+T75+V75+X75+Z75+AB75+AD75</f>
        <v>5</v>
      </c>
      <c r="AJ75" s="699">
        <f t="shared" si="138"/>
        <v>17</v>
      </c>
      <c r="AK75" s="541"/>
      <c r="AL75" s="541"/>
      <c r="AM75" s="716" t="s">
        <v>849</v>
      </c>
    </row>
    <row r="76" ht="26.25" customHeight="1">
      <c r="A76" s="701">
        <v>70.0</v>
      </c>
      <c r="B76" s="740" t="s">
        <v>420</v>
      </c>
      <c r="C76" s="741" t="s">
        <v>935</v>
      </c>
      <c r="D76" s="742" t="s">
        <v>858</v>
      </c>
      <c r="E76" s="743">
        <v>3.0</v>
      </c>
      <c r="F76" s="744">
        <v>6.0</v>
      </c>
      <c r="G76" s="745">
        <v>21.0</v>
      </c>
      <c r="H76" s="744">
        <v>0.0</v>
      </c>
      <c r="I76" s="745">
        <v>0.0</v>
      </c>
      <c r="J76" s="709">
        <v>0.0</v>
      </c>
      <c r="K76" s="710">
        <v>0.0</v>
      </c>
      <c r="L76" s="709">
        <v>0.0</v>
      </c>
      <c r="M76" s="710">
        <v>0.0</v>
      </c>
      <c r="N76" s="709">
        <v>0.0</v>
      </c>
      <c r="O76" s="711">
        <v>0.0</v>
      </c>
      <c r="P76" s="712">
        <v>0.0</v>
      </c>
      <c r="Q76" s="713">
        <v>0.0</v>
      </c>
      <c r="R76" s="712">
        <v>0.0</v>
      </c>
      <c r="S76" s="713">
        <v>4.0</v>
      </c>
      <c r="T76" s="712">
        <v>0.0</v>
      </c>
      <c r="U76" s="713">
        <v>1.0</v>
      </c>
      <c r="V76" s="714"/>
      <c r="W76" s="715"/>
      <c r="X76" s="714"/>
      <c r="Y76" s="715"/>
      <c r="Z76" s="714"/>
      <c r="AA76" s="715"/>
      <c r="AB76" s="714"/>
      <c r="AC76" s="715"/>
      <c r="AD76" s="714"/>
      <c r="AE76" s="715"/>
      <c r="AF76" s="729"/>
      <c r="AG76" s="696">
        <f t="shared" ref="AG76:AH76" si="139">F76+H76+J76+L76+N76+P76+R76+T76+V76+X76+Z76+AB76+AD76</f>
        <v>6</v>
      </c>
      <c r="AH76" s="697">
        <f t="shared" si="139"/>
        <v>26</v>
      </c>
      <c r="AI76" s="698">
        <f t="shared" ref="AI76:AJ76" si="140">J76+H76+L76+N76+P76+R76+T76+V76+X76+Z76+AB76+AD76</f>
        <v>0</v>
      </c>
      <c r="AJ76" s="699">
        <f t="shared" si="140"/>
        <v>5</v>
      </c>
      <c r="AK76" s="541"/>
      <c r="AL76" s="541"/>
      <c r="AM76" s="716" t="s">
        <v>849</v>
      </c>
    </row>
    <row r="77" ht="26.25" customHeight="1">
      <c r="A77" s="679">
        <v>71.0</v>
      </c>
      <c r="B77" s="746" t="s">
        <v>406</v>
      </c>
      <c r="C77" s="741" t="s">
        <v>936</v>
      </c>
      <c r="D77" s="742" t="s">
        <v>858</v>
      </c>
      <c r="E77" s="747">
        <v>4.0</v>
      </c>
      <c r="F77" s="748">
        <v>11.0</v>
      </c>
      <c r="G77" s="749">
        <v>18.0</v>
      </c>
      <c r="H77" s="748">
        <v>0.0</v>
      </c>
      <c r="I77" s="749">
        <v>0.0</v>
      </c>
      <c r="J77" s="709">
        <v>0.0</v>
      </c>
      <c r="K77" s="710">
        <v>0.0</v>
      </c>
      <c r="L77" s="709">
        <v>0.0</v>
      </c>
      <c r="M77" s="710">
        <v>0.0</v>
      </c>
      <c r="N77" s="709">
        <v>0.0</v>
      </c>
      <c r="O77" s="711">
        <v>0.0</v>
      </c>
      <c r="P77" s="712">
        <v>0.0</v>
      </c>
      <c r="Q77" s="713">
        <v>17.0</v>
      </c>
      <c r="R77" s="712">
        <v>0.0</v>
      </c>
      <c r="S77" s="713">
        <v>2.0</v>
      </c>
      <c r="T77" s="712">
        <v>0.0</v>
      </c>
      <c r="U77" s="713">
        <v>3.0</v>
      </c>
      <c r="V77" s="714"/>
      <c r="W77" s="715"/>
      <c r="X77" s="714"/>
      <c r="Y77" s="715"/>
      <c r="Z77" s="714"/>
      <c r="AA77" s="715"/>
      <c r="AB77" s="714"/>
      <c r="AC77" s="715"/>
      <c r="AD77" s="714"/>
      <c r="AE77" s="715"/>
      <c r="AF77" s="665"/>
      <c r="AG77" s="696">
        <f t="shared" ref="AG77:AH77" si="141">F77+H77+J77+L77+N77+P77+R77+T77+V77+X77+Z77+AB77+AD77</f>
        <v>11</v>
      </c>
      <c r="AH77" s="697">
        <f t="shared" si="141"/>
        <v>40</v>
      </c>
      <c r="AI77" s="698">
        <f t="shared" ref="AI77:AJ77" si="142">J77+H77+L77+N77+P77+R77+T77+V77+X77+Z77+AB77+AD77</f>
        <v>0</v>
      </c>
      <c r="AJ77" s="699">
        <f t="shared" si="142"/>
        <v>22</v>
      </c>
      <c r="AK77" s="541"/>
      <c r="AL77" s="541"/>
      <c r="AM77" s="716" t="s">
        <v>855</v>
      </c>
    </row>
    <row r="78" ht="26.25" customHeight="1">
      <c r="A78" s="679">
        <v>72.0</v>
      </c>
      <c r="B78" s="746" t="s">
        <v>937</v>
      </c>
      <c r="C78" s="741" t="s">
        <v>938</v>
      </c>
      <c r="D78" s="742" t="s">
        <v>858</v>
      </c>
      <c r="E78" s="747">
        <v>3.0</v>
      </c>
      <c r="F78" s="748">
        <v>3.0</v>
      </c>
      <c r="G78" s="749">
        <v>19.0</v>
      </c>
      <c r="H78" s="748">
        <v>0.0</v>
      </c>
      <c r="I78" s="749">
        <v>0.0</v>
      </c>
      <c r="J78" s="709">
        <v>0.0</v>
      </c>
      <c r="K78" s="710">
        <v>0.0</v>
      </c>
      <c r="L78" s="709">
        <v>0.0</v>
      </c>
      <c r="M78" s="710">
        <v>0.0</v>
      </c>
      <c r="N78" s="709">
        <v>0.0</v>
      </c>
      <c r="O78" s="711">
        <v>0.0</v>
      </c>
      <c r="P78" s="712">
        <v>0.0</v>
      </c>
      <c r="Q78" s="713">
        <v>6.0</v>
      </c>
      <c r="R78" s="712">
        <v>0.0</v>
      </c>
      <c r="S78" s="713">
        <v>1.0</v>
      </c>
      <c r="T78" s="712">
        <v>0.0</v>
      </c>
      <c r="U78" s="713">
        <v>0.0</v>
      </c>
      <c r="V78" s="714"/>
      <c r="W78" s="715"/>
      <c r="X78" s="714"/>
      <c r="Y78" s="715"/>
      <c r="Z78" s="714"/>
      <c r="AA78" s="715"/>
      <c r="AB78" s="714"/>
      <c r="AC78" s="715"/>
      <c r="AD78" s="714"/>
      <c r="AE78" s="715"/>
      <c r="AF78" s="665"/>
      <c r="AG78" s="696">
        <f t="shared" ref="AG78:AH78" si="143">F78+H78+J78+L78+N78+P78+R78+T78+V78+X78+Z78+AB78+AD78</f>
        <v>3</v>
      </c>
      <c r="AH78" s="697">
        <f t="shared" si="143"/>
        <v>26</v>
      </c>
      <c r="AI78" s="698">
        <f t="shared" ref="AI78:AJ78" si="144">J78+H78+L78+N78+P78+R78+T78+V78+X78+Z78+AB78+AD78</f>
        <v>0</v>
      </c>
      <c r="AJ78" s="699">
        <f t="shared" si="144"/>
        <v>7</v>
      </c>
      <c r="AK78" s="541"/>
      <c r="AL78" s="541"/>
      <c r="AM78" s="716"/>
    </row>
    <row r="79" ht="26.25" hidden="1" customHeight="1">
      <c r="A79" s="701">
        <v>72.0</v>
      </c>
      <c r="B79" s="750"/>
      <c r="C79" s="751"/>
      <c r="D79" s="752"/>
      <c r="E79" s="753"/>
      <c r="F79" s="754"/>
      <c r="G79" s="755"/>
      <c r="H79" s="754"/>
      <c r="I79" s="755"/>
      <c r="J79" s="731"/>
      <c r="K79" s="732"/>
      <c r="L79" s="731"/>
      <c r="M79" s="732"/>
      <c r="N79" s="731"/>
      <c r="O79" s="756"/>
      <c r="P79" s="714"/>
      <c r="Q79" s="715"/>
      <c r="R79" s="714"/>
      <c r="S79" s="715"/>
      <c r="T79" s="714"/>
      <c r="U79" s="715"/>
      <c r="V79" s="714"/>
      <c r="W79" s="715"/>
      <c r="X79" s="714"/>
      <c r="Y79" s="715"/>
      <c r="Z79" s="714"/>
      <c r="AA79" s="715"/>
      <c r="AB79" s="714"/>
      <c r="AC79" s="715"/>
      <c r="AD79" s="714"/>
      <c r="AE79" s="715"/>
      <c r="AF79" s="665"/>
      <c r="AG79" s="696">
        <f t="shared" ref="AG79:AH79" si="145">F79+H79+J79+L79+N79+P79+R79+T79+V79+X79+Z79+AB79+AD79</f>
        <v>0</v>
      </c>
      <c r="AH79" s="697">
        <f t="shared" si="145"/>
        <v>0</v>
      </c>
      <c r="AI79" s="698">
        <f t="shared" ref="AI79:AJ79" si="146">J79+H79+L79+N79+P79+R79+T79+V79+X79+Z79+AB79+AD79</f>
        <v>0</v>
      </c>
      <c r="AJ79" s="699">
        <f t="shared" si="146"/>
        <v>0</v>
      </c>
      <c r="AK79" s="541"/>
      <c r="AL79" s="541"/>
      <c r="AM79" s="700" t="s">
        <v>867</v>
      </c>
    </row>
    <row r="80" ht="26.25" hidden="1" customHeight="1">
      <c r="A80" s="679">
        <v>73.0</v>
      </c>
      <c r="B80" s="750"/>
      <c r="C80" s="751"/>
      <c r="D80" s="757"/>
      <c r="E80" s="758"/>
      <c r="F80" s="759"/>
      <c r="G80" s="760"/>
      <c r="H80" s="759"/>
      <c r="I80" s="760"/>
      <c r="J80" s="731"/>
      <c r="K80" s="732"/>
      <c r="L80" s="731"/>
      <c r="M80" s="732"/>
      <c r="N80" s="731"/>
      <c r="O80" s="756"/>
      <c r="P80" s="714"/>
      <c r="Q80" s="715"/>
      <c r="R80" s="714"/>
      <c r="S80" s="715"/>
      <c r="T80" s="714"/>
      <c r="U80" s="715"/>
      <c r="V80" s="714"/>
      <c r="W80" s="715"/>
      <c r="X80" s="714"/>
      <c r="Y80" s="715"/>
      <c r="Z80" s="714"/>
      <c r="AA80" s="715"/>
      <c r="AB80" s="714"/>
      <c r="AC80" s="715"/>
      <c r="AD80" s="714"/>
      <c r="AE80" s="715"/>
      <c r="AF80" s="665"/>
      <c r="AG80" s="696">
        <f t="shared" ref="AG80:AH80" si="147">F80+H80+J80+L80+N80+P80+R80+T80+V80+X80+Z80+AB80+AD80</f>
        <v>0</v>
      </c>
      <c r="AH80" s="697">
        <f t="shared" si="147"/>
        <v>0</v>
      </c>
      <c r="AI80" s="698">
        <f t="shared" ref="AI80:AJ80" si="148">J80+H80+L80+N80+P80+R80+T80+V80+X80+Z80+AB80+AD80</f>
        <v>0</v>
      </c>
      <c r="AJ80" s="699">
        <f t="shared" si="148"/>
        <v>0</v>
      </c>
      <c r="AK80" s="541"/>
      <c r="AL80" s="541"/>
      <c r="AM80" s="716" t="s">
        <v>855</v>
      </c>
    </row>
    <row r="81" ht="26.25" hidden="1" customHeight="1">
      <c r="A81" s="701">
        <v>74.0</v>
      </c>
      <c r="B81" s="750"/>
      <c r="C81" s="751"/>
      <c r="D81" s="757"/>
      <c r="E81" s="758"/>
      <c r="F81" s="759"/>
      <c r="G81" s="760"/>
      <c r="H81" s="759"/>
      <c r="I81" s="760"/>
      <c r="J81" s="731"/>
      <c r="K81" s="732"/>
      <c r="L81" s="731"/>
      <c r="M81" s="732"/>
      <c r="N81" s="731"/>
      <c r="O81" s="756"/>
      <c r="P81" s="714"/>
      <c r="Q81" s="715"/>
      <c r="R81" s="714"/>
      <c r="S81" s="715"/>
      <c r="T81" s="714"/>
      <c r="U81" s="715"/>
      <c r="V81" s="714"/>
      <c r="W81" s="715"/>
      <c r="X81" s="714"/>
      <c r="Y81" s="715"/>
      <c r="Z81" s="714"/>
      <c r="AA81" s="715"/>
      <c r="AB81" s="714"/>
      <c r="AC81" s="715"/>
      <c r="AD81" s="714"/>
      <c r="AE81" s="715"/>
      <c r="AF81" s="665"/>
      <c r="AG81" s="696">
        <f t="shared" ref="AG81:AH81" si="149">F81+H81+J81+L81+N81+P81+R81+T81+V81+X81+Z81+AB81+AD81</f>
        <v>0</v>
      </c>
      <c r="AH81" s="697">
        <f t="shared" si="149"/>
        <v>0</v>
      </c>
      <c r="AI81" s="698">
        <f t="shared" ref="AI81:AJ81" si="150">J81+H81+L81+N81+P81+R81+T81+V81+X81+Z81+AB81+AD81</f>
        <v>0</v>
      </c>
      <c r="AJ81" s="699">
        <f t="shared" si="150"/>
        <v>0</v>
      </c>
      <c r="AK81" s="541"/>
      <c r="AL81" s="541"/>
      <c r="AM81" s="716" t="s">
        <v>855</v>
      </c>
    </row>
    <row r="82" ht="26.25" hidden="1" customHeight="1">
      <c r="A82" s="679">
        <v>75.0</v>
      </c>
      <c r="B82" s="750"/>
      <c r="C82" s="751"/>
      <c r="D82" s="757"/>
      <c r="E82" s="758"/>
      <c r="F82" s="759"/>
      <c r="G82" s="760"/>
      <c r="H82" s="759"/>
      <c r="I82" s="760"/>
      <c r="J82" s="731"/>
      <c r="K82" s="732"/>
      <c r="L82" s="731"/>
      <c r="M82" s="732"/>
      <c r="N82" s="731"/>
      <c r="O82" s="756"/>
      <c r="P82" s="731"/>
      <c r="Q82" s="732"/>
      <c r="R82" s="731"/>
      <c r="S82" s="732"/>
      <c r="T82" s="731"/>
      <c r="U82" s="732"/>
      <c r="V82" s="731"/>
      <c r="W82" s="732"/>
      <c r="X82" s="731"/>
      <c r="Y82" s="732"/>
      <c r="Z82" s="731"/>
      <c r="AA82" s="732"/>
      <c r="AB82" s="731"/>
      <c r="AC82" s="732"/>
      <c r="AD82" s="731"/>
      <c r="AE82" s="732"/>
      <c r="AF82" s="665"/>
      <c r="AG82" s="696">
        <f t="shared" ref="AG82:AH82" si="151">F82+H82+J82+L82+N82+P82+R82+T82+V82+X82+Z82+AB82+AD82</f>
        <v>0</v>
      </c>
      <c r="AH82" s="697">
        <f t="shared" si="151"/>
        <v>0</v>
      </c>
      <c r="AI82" s="698">
        <f t="shared" ref="AI82:AJ82" si="152">J82+H82+L82+N82+P82+R82+T82+V82+X82+Z82+AB82+AD82</f>
        <v>0</v>
      </c>
      <c r="AJ82" s="699">
        <f t="shared" si="152"/>
        <v>0</v>
      </c>
      <c r="AK82" s="541"/>
      <c r="AL82" s="541"/>
      <c r="AM82" s="700" t="s">
        <v>867</v>
      </c>
    </row>
    <row r="83" ht="26.25" hidden="1" customHeight="1">
      <c r="A83" s="701">
        <v>76.0</v>
      </c>
      <c r="B83" s="750"/>
      <c r="C83" s="751"/>
      <c r="D83" s="757"/>
      <c r="E83" s="758"/>
      <c r="F83" s="759"/>
      <c r="G83" s="760"/>
      <c r="H83" s="759"/>
      <c r="I83" s="760"/>
      <c r="J83" s="731"/>
      <c r="K83" s="732"/>
      <c r="L83" s="731"/>
      <c r="M83" s="732"/>
      <c r="N83" s="731"/>
      <c r="O83" s="756"/>
      <c r="P83" s="731"/>
      <c r="Q83" s="732"/>
      <c r="R83" s="731"/>
      <c r="S83" s="732"/>
      <c r="T83" s="731"/>
      <c r="U83" s="732"/>
      <c r="V83" s="731"/>
      <c r="W83" s="732"/>
      <c r="X83" s="731"/>
      <c r="Y83" s="732"/>
      <c r="Z83" s="731"/>
      <c r="AA83" s="732"/>
      <c r="AB83" s="731"/>
      <c r="AC83" s="732"/>
      <c r="AD83" s="731"/>
      <c r="AE83" s="732"/>
      <c r="AF83" s="665"/>
      <c r="AG83" s="696">
        <f t="shared" ref="AG83:AH83" si="153">F83+H83+J83+L83+N83+P83+R83+T83+V83+X83+Z83+AB83+AD83</f>
        <v>0</v>
      </c>
      <c r="AH83" s="697">
        <f t="shared" si="153"/>
        <v>0</v>
      </c>
      <c r="AI83" s="698">
        <f t="shared" ref="AI83:AJ83" si="154">J83+H83+L83+N83+P83+R83+T83+V83+X83+Z83+AB83+AD83</f>
        <v>0</v>
      </c>
      <c r="AJ83" s="699">
        <f t="shared" si="154"/>
        <v>0</v>
      </c>
      <c r="AK83" s="541"/>
      <c r="AL83" s="541"/>
      <c r="AM83" s="716" t="s">
        <v>855</v>
      </c>
    </row>
    <row r="84" ht="26.25" hidden="1" customHeight="1">
      <c r="A84" s="679">
        <v>77.0</v>
      </c>
      <c r="B84" s="750"/>
      <c r="C84" s="751"/>
      <c r="D84" s="752"/>
      <c r="E84" s="753"/>
      <c r="F84" s="754"/>
      <c r="G84" s="755"/>
      <c r="H84" s="754"/>
      <c r="I84" s="755"/>
      <c r="J84" s="731"/>
      <c r="K84" s="732"/>
      <c r="L84" s="731"/>
      <c r="M84" s="732"/>
      <c r="N84" s="731"/>
      <c r="O84" s="756"/>
      <c r="P84" s="714"/>
      <c r="Q84" s="715"/>
      <c r="R84" s="714"/>
      <c r="S84" s="715"/>
      <c r="T84" s="714"/>
      <c r="U84" s="715"/>
      <c r="V84" s="714"/>
      <c r="W84" s="715"/>
      <c r="X84" s="714"/>
      <c r="Y84" s="715"/>
      <c r="Z84" s="714"/>
      <c r="AA84" s="715"/>
      <c r="AB84" s="714"/>
      <c r="AC84" s="715"/>
      <c r="AD84" s="714"/>
      <c r="AE84" s="715"/>
      <c r="AF84" s="665"/>
      <c r="AG84" s="696">
        <f t="shared" ref="AG84:AH84" si="155">F84+H84+J84+L84+N84+P84+R84+T84+V84+X84+Z84+AB84+AD84</f>
        <v>0</v>
      </c>
      <c r="AH84" s="697">
        <f t="shared" si="155"/>
        <v>0</v>
      </c>
      <c r="AI84" s="698">
        <f t="shared" ref="AI84:AJ84" si="156">J84+H84+L84+N84+P84+R84+T84+V84+X84+Z84+AB84+AD84</f>
        <v>0</v>
      </c>
      <c r="AJ84" s="699">
        <f t="shared" si="156"/>
        <v>0</v>
      </c>
      <c r="AK84" s="541"/>
      <c r="AL84" s="541"/>
      <c r="AM84" s="700" t="s">
        <v>867</v>
      </c>
    </row>
    <row r="85" ht="26.25" hidden="1" customHeight="1">
      <c r="A85" s="701">
        <v>78.0</v>
      </c>
      <c r="B85" s="750"/>
      <c r="C85" s="751"/>
      <c r="D85" s="757"/>
      <c r="E85" s="758"/>
      <c r="F85" s="759"/>
      <c r="G85" s="760"/>
      <c r="H85" s="759"/>
      <c r="I85" s="760"/>
      <c r="J85" s="731"/>
      <c r="K85" s="732"/>
      <c r="L85" s="731"/>
      <c r="M85" s="732"/>
      <c r="N85" s="731"/>
      <c r="O85" s="756"/>
      <c r="P85" s="714"/>
      <c r="Q85" s="715"/>
      <c r="R85" s="714"/>
      <c r="S85" s="715"/>
      <c r="T85" s="714"/>
      <c r="U85" s="715"/>
      <c r="V85" s="714"/>
      <c r="W85" s="715"/>
      <c r="X85" s="714"/>
      <c r="Y85" s="715"/>
      <c r="Z85" s="714"/>
      <c r="AA85" s="715"/>
      <c r="AB85" s="714"/>
      <c r="AC85" s="715"/>
      <c r="AD85" s="714"/>
      <c r="AE85" s="715"/>
      <c r="AF85" s="665"/>
      <c r="AG85" s="696">
        <f t="shared" ref="AG85:AH85" si="157">F85+H85+J85+L85+N85+P85+R85+T85+V85+X85+Z85+AB85+AD85</f>
        <v>0</v>
      </c>
      <c r="AH85" s="697">
        <f t="shared" si="157"/>
        <v>0</v>
      </c>
      <c r="AI85" s="698">
        <f t="shared" ref="AI85:AJ85" si="158">J85+H85+L85+N85+P85+R85+T85+V85+X85+Z85+AB85+AD85</f>
        <v>0</v>
      </c>
      <c r="AJ85" s="699">
        <f t="shared" si="158"/>
        <v>0</v>
      </c>
      <c r="AK85" s="541"/>
      <c r="AL85" s="541"/>
      <c r="AM85" s="700" t="s">
        <v>867</v>
      </c>
    </row>
    <row r="86" ht="26.25" hidden="1" customHeight="1">
      <c r="A86" s="679">
        <v>79.0</v>
      </c>
      <c r="B86" s="750"/>
      <c r="C86" s="751"/>
      <c r="D86" s="757"/>
      <c r="E86" s="758"/>
      <c r="F86" s="759"/>
      <c r="G86" s="760"/>
      <c r="H86" s="759"/>
      <c r="I86" s="760"/>
      <c r="J86" s="731"/>
      <c r="K86" s="732"/>
      <c r="L86" s="731"/>
      <c r="M86" s="732"/>
      <c r="N86" s="731"/>
      <c r="O86" s="756"/>
      <c r="P86" s="714"/>
      <c r="Q86" s="715"/>
      <c r="R86" s="714"/>
      <c r="S86" s="715"/>
      <c r="T86" s="714"/>
      <c r="U86" s="715"/>
      <c r="V86" s="714"/>
      <c r="W86" s="715"/>
      <c r="X86" s="714"/>
      <c r="Y86" s="715"/>
      <c r="Z86" s="714"/>
      <c r="AA86" s="715"/>
      <c r="AB86" s="714"/>
      <c r="AC86" s="715"/>
      <c r="AD86" s="714"/>
      <c r="AE86" s="715"/>
      <c r="AF86" s="665"/>
      <c r="AG86" s="696">
        <f t="shared" ref="AG86:AH86" si="159">F86+H86+J86+L86+N86+P86+R86+T86+V86+X86+Z86+AB86+AD86</f>
        <v>0</v>
      </c>
      <c r="AH86" s="697">
        <f t="shared" si="159"/>
        <v>0</v>
      </c>
      <c r="AI86" s="698">
        <f t="shared" ref="AI86:AJ86" si="160">J86+H86+L86+N86+P86+R86+T86+V86+X86+Z86+AB86+AD86</f>
        <v>0</v>
      </c>
      <c r="AJ86" s="699">
        <f t="shared" si="160"/>
        <v>0</v>
      </c>
      <c r="AK86" s="541"/>
      <c r="AL86" s="541"/>
      <c r="AM86" s="716" t="s">
        <v>855</v>
      </c>
    </row>
    <row r="87" ht="26.25" hidden="1" customHeight="1">
      <c r="A87" s="701">
        <v>80.0</v>
      </c>
      <c r="B87" s="750"/>
      <c r="C87" s="751"/>
      <c r="D87" s="757"/>
      <c r="E87" s="758"/>
      <c r="F87" s="759"/>
      <c r="G87" s="760"/>
      <c r="H87" s="759"/>
      <c r="I87" s="760"/>
      <c r="J87" s="731"/>
      <c r="K87" s="732"/>
      <c r="L87" s="731"/>
      <c r="M87" s="732"/>
      <c r="N87" s="731"/>
      <c r="O87" s="756"/>
      <c r="P87" s="714"/>
      <c r="Q87" s="715"/>
      <c r="R87" s="714"/>
      <c r="S87" s="715"/>
      <c r="T87" s="714"/>
      <c r="U87" s="715"/>
      <c r="V87" s="714"/>
      <c r="W87" s="715"/>
      <c r="X87" s="714"/>
      <c r="Y87" s="715"/>
      <c r="Z87" s="714"/>
      <c r="AA87" s="715"/>
      <c r="AB87" s="714"/>
      <c r="AC87" s="715"/>
      <c r="AD87" s="714"/>
      <c r="AE87" s="715"/>
      <c r="AF87" s="665"/>
      <c r="AG87" s="696">
        <f t="shared" ref="AG87:AH87" si="161">F87+H87+J87+L87+N87+P87+R87+T87+V87+X87+Z87+AB87+AD87</f>
        <v>0</v>
      </c>
      <c r="AH87" s="697">
        <f t="shared" si="161"/>
        <v>0</v>
      </c>
      <c r="AI87" s="698">
        <f t="shared" ref="AI87:AJ87" si="162">J87+H87+L87+N87+P87+R87+T87+V87+X87+Z87+AB87+AD87</f>
        <v>0</v>
      </c>
      <c r="AJ87" s="699">
        <f t="shared" si="162"/>
        <v>0</v>
      </c>
      <c r="AK87" s="541"/>
      <c r="AL87" s="541"/>
      <c r="AM87" s="716" t="s">
        <v>855</v>
      </c>
    </row>
    <row r="88" ht="26.25" hidden="1" customHeight="1">
      <c r="A88" s="679">
        <v>81.0</v>
      </c>
      <c r="B88" s="750"/>
      <c r="C88" s="751"/>
      <c r="D88" s="757"/>
      <c r="E88" s="758"/>
      <c r="F88" s="759"/>
      <c r="G88" s="760"/>
      <c r="H88" s="759"/>
      <c r="I88" s="760"/>
      <c r="J88" s="731"/>
      <c r="K88" s="732"/>
      <c r="L88" s="731"/>
      <c r="M88" s="732"/>
      <c r="N88" s="731"/>
      <c r="O88" s="756"/>
      <c r="P88" s="714"/>
      <c r="Q88" s="715"/>
      <c r="R88" s="714"/>
      <c r="S88" s="715"/>
      <c r="T88" s="714"/>
      <c r="U88" s="715"/>
      <c r="V88" s="714"/>
      <c r="W88" s="715"/>
      <c r="X88" s="714"/>
      <c r="Y88" s="715"/>
      <c r="Z88" s="714"/>
      <c r="AA88" s="715"/>
      <c r="AB88" s="714"/>
      <c r="AC88" s="715"/>
      <c r="AD88" s="714"/>
      <c r="AE88" s="715"/>
      <c r="AF88" s="665"/>
      <c r="AG88" s="696">
        <f t="shared" ref="AG88:AH88" si="163">F88+H88+J88+L88+N88+P88+R88+T88+V88+X88+Z88+AB88+AD88</f>
        <v>0</v>
      </c>
      <c r="AH88" s="697">
        <f t="shared" si="163"/>
        <v>0</v>
      </c>
      <c r="AI88" s="698">
        <f t="shared" ref="AI88:AJ88" si="164">J88+H88+L88+N88+P88+R88+T88+V88+X88+Z88+AB88+AD88</f>
        <v>0</v>
      </c>
      <c r="AJ88" s="699">
        <f t="shared" si="164"/>
        <v>0</v>
      </c>
      <c r="AK88" s="541"/>
      <c r="AL88" s="541"/>
      <c r="AM88" s="716" t="s">
        <v>855</v>
      </c>
    </row>
    <row r="89" ht="26.25" hidden="1" customHeight="1">
      <c r="A89" s="701">
        <v>82.0</v>
      </c>
      <c r="B89" s="750"/>
      <c r="C89" s="751"/>
      <c r="D89" s="757"/>
      <c r="E89" s="758"/>
      <c r="F89" s="759"/>
      <c r="G89" s="760"/>
      <c r="H89" s="759"/>
      <c r="I89" s="760"/>
      <c r="J89" s="731"/>
      <c r="K89" s="732"/>
      <c r="L89" s="731"/>
      <c r="M89" s="732"/>
      <c r="N89" s="731"/>
      <c r="O89" s="756"/>
      <c r="P89" s="731"/>
      <c r="Q89" s="732"/>
      <c r="R89" s="731"/>
      <c r="S89" s="732"/>
      <c r="T89" s="731"/>
      <c r="U89" s="732"/>
      <c r="V89" s="731"/>
      <c r="W89" s="732"/>
      <c r="X89" s="731"/>
      <c r="Y89" s="732"/>
      <c r="Z89" s="731"/>
      <c r="AA89" s="732"/>
      <c r="AB89" s="731"/>
      <c r="AC89" s="732"/>
      <c r="AD89" s="731"/>
      <c r="AE89" s="732"/>
      <c r="AF89" s="665"/>
      <c r="AG89" s="696">
        <f t="shared" ref="AG89:AH89" si="165">F89+H89+J89+L89+N89+P89+R89+T89+V89+X89+Z89+AB89+AD89</f>
        <v>0</v>
      </c>
      <c r="AH89" s="697">
        <f t="shared" si="165"/>
        <v>0</v>
      </c>
      <c r="AI89" s="698">
        <f t="shared" ref="AI89:AJ89" si="166">J89+H89+L89+N89+P89+R89+T89+V89+X89+Z89+AB89+AD89</f>
        <v>0</v>
      </c>
      <c r="AJ89" s="699">
        <f t="shared" si="166"/>
        <v>0</v>
      </c>
      <c r="AK89" s="541"/>
      <c r="AL89" s="541"/>
      <c r="AM89" s="716" t="s">
        <v>855</v>
      </c>
    </row>
    <row r="90" ht="26.25" hidden="1" customHeight="1">
      <c r="A90" s="679">
        <v>83.0</v>
      </c>
      <c r="B90" s="750"/>
      <c r="C90" s="751"/>
      <c r="D90" s="761"/>
      <c r="E90" s="758"/>
      <c r="F90" s="759"/>
      <c r="G90" s="760"/>
      <c r="H90" s="759"/>
      <c r="I90" s="760"/>
      <c r="J90" s="731"/>
      <c r="K90" s="732"/>
      <c r="L90" s="731"/>
      <c r="M90" s="732"/>
      <c r="N90" s="731"/>
      <c r="O90" s="756"/>
      <c r="P90" s="731"/>
      <c r="Q90" s="732"/>
      <c r="R90" s="731"/>
      <c r="S90" s="732"/>
      <c r="T90" s="731"/>
      <c r="U90" s="732"/>
      <c r="V90" s="731"/>
      <c r="W90" s="732"/>
      <c r="X90" s="731"/>
      <c r="Y90" s="732"/>
      <c r="Z90" s="731"/>
      <c r="AA90" s="732"/>
      <c r="AB90" s="731"/>
      <c r="AC90" s="732"/>
      <c r="AD90" s="731"/>
      <c r="AE90" s="732"/>
      <c r="AF90" s="665"/>
      <c r="AG90" s="696">
        <f t="shared" ref="AG90:AH90" si="167">F90+H90+J90+L90+N90+P90+R90+T90+V90+X90+Z90+AB90+AD90</f>
        <v>0</v>
      </c>
      <c r="AH90" s="697">
        <f t="shared" si="167"/>
        <v>0</v>
      </c>
      <c r="AI90" s="698">
        <f t="shared" ref="AI90:AJ90" si="168">J90+H90+L90+N90+P90+R90+T90+V90+X90+Z90+AB90+AD90</f>
        <v>0</v>
      </c>
      <c r="AJ90" s="699">
        <f t="shared" si="168"/>
        <v>0</v>
      </c>
      <c r="AK90" s="541"/>
      <c r="AL90" s="541"/>
      <c r="AM90" s="700" t="s">
        <v>867</v>
      </c>
    </row>
    <row r="91" ht="26.25" hidden="1" customHeight="1">
      <c r="A91" s="701">
        <v>84.0</v>
      </c>
      <c r="B91" s="750"/>
      <c r="C91" s="751"/>
      <c r="D91" s="757"/>
      <c r="E91" s="758"/>
      <c r="F91" s="759"/>
      <c r="G91" s="760"/>
      <c r="H91" s="759"/>
      <c r="I91" s="760"/>
      <c r="J91" s="731"/>
      <c r="K91" s="732"/>
      <c r="L91" s="731"/>
      <c r="M91" s="732"/>
      <c r="N91" s="731"/>
      <c r="O91" s="756"/>
      <c r="P91" s="714"/>
      <c r="Q91" s="715"/>
      <c r="R91" s="714"/>
      <c r="S91" s="715"/>
      <c r="T91" s="714"/>
      <c r="U91" s="715"/>
      <c r="V91" s="714"/>
      <c r="W91" s="715"/>
      <c r="X91" s="714"/>
      <c r="Y91" s="715"/>
      <c r="Z91" s="714"/>
      <c r="AA91" s="715"/>
      <c r="AB91" s="714"/>
      <c r="AC91" s="715"/>
      <c r="AD91" s="714"/>
      <c r="AE91" s="715"/>
      <c r="AF91" s="665"/>
      <c r="AG91" s="696">
        <f t="shared" ref="AG91:AH91" si="169">F91+H91+J91+L91+N91+P91+R91+T91+V91+X91+Z91+AB91+AD91</f>
        <v>0</v>
      </c>
      <c r="AH91" s="697">
        <f t="shared" si="169"/>
        <v>0</v>
      </c>
      <c r="AI91" s="698">
        <f t="shared" ref="AI91:AJ91" si="170">J91+H91+L91+N91+P91+R91+T91+V91+X91+Z91+AB91+AD91</f>
        <v>0</v>
      </c>
      <c r="AJ91" s="699">
        <f t="shared" si="170"/>
        <v>0</v>
      </c>
      <c r="AK91" s="541"/>
      <c r="AL91" s="541"/>
      <c r="AM91" s="700" t="s">
        <v>867</v>
      </c>
    </row>
    <row r="92" ht="26.25" hidden="1" customHeight="1">
      <c r="A92" s="679">
        <v>85.0</v>
      </c>
      <c r="B92" s="750"/>
      <c r="C92" s="751"/>
      <c r="D92" s="762"/>
      <c r="E92" s="758"/>
      <c r="F92" s="759"/>
      <c r="G92" s="760"/>
      <c r="H92" s="759"/>
      <c r="I92" s="760"/>
      <c r="J92" s="731"/>
      <c r="K92" s="732"/>
      <c r="L92" s="731"/>
      <c r="M92" s="732"/>
      <c r="N92" s="731"/>
      <c r="O92" s="756"/>
      <c r="P92" s="714"/>
      <c r="Q92" s="715"/>
      <c r="R92" s="714"/>
      <c r="S92" s="715"/>
      <c r="T92" s="714"/>
      <c r="U92" s="715"/>
      <c r="V92" s="714"/>
      <c r="W92" s="715"/>
      <c r="X92" s="714"/>
      <c r="Y92" s="715"/>
      <c r="Z92" s="714"/>
      <c r="AA92" s="715"/>
      <c r="AB92" s="714"/>
      <c r="AC92" s="715"/>
      <c r="AD92" s="714"/>
      <c r="AE92" s="715"/>
      <c r="AF92" s="665"/>
      <c r="AG92" s="696">
        <f t="shared" ref="AG92:AH92" si="171">F92+H92+J92+L92+N92+P92+R92+T92+V92+X92+Z92+AB92+AD92</f>
        <v>0</v>
      </c>
      <c r="AH92" s="697">
        <f t="shared" si="171"/>
        <v>0</v>
      </c>
      <c r="AI92" s="698">
        <f t="shared" ref="AI92:AJ92" si="172">J92+H92+L92+N92+P92+R92+T92+V92+X92+Z92+AB92+AD92</f>
        <v>0</v>
      </c>
      <c r="AJ92" s="699">
        <f t="shared" si="172"/>
        <v>0</v>
      </c>
      <c r="AK92" s="541"/>
      <c r="AL92" s="541"/>
      <c r="AM92" s="716" t="s">
        <v>855</v>
      </c>
    </row>
    <row r="93" ht="26.25" hidden="1" customHeight="1">
      <c r="A93" s="701">
        <v>86.0</v>
      </c>
      <c r="B93" s="750"/>
      <c r="C93" s="751"/>
      <c r="D93" s="763"/>
      <c r="E93" s="764"/>
      <c r="F93" s="764"/>
      <c r="G93" s="764"/>
      <c r="H93" s="764"/>
      <c r="I93" s="764"/>
      <c r="J93" s="731"/>
      <c r="K93" s="732"/>
      <c r="L93" s="731"/>
      <c r="M93" s="732"/>
      <c r="N93" s="731"/>
      <c r="O93" s="756"/>
      <c r="P93" s="714"/>
      <c r="Q93" s="715"/>
      <c r="R93" s="714"/>
      <c r="S93" s="715"/>
      <c r="T93" s="714"/>
      <c r="U93" s="715"/>
      <c r="V93" s="714"/>
      <c r="W93" s="715"/>
      <c r="X93" s="714"/>
      <c r="Y93" s="715"/>
      <c r="Z93" s="714"/>
      <c r="AA93" s="715"/>
      <c r="AB93" s="714"/>
      <c r="AC93" s="715"/>
      <c r="AD93" s="714"/>
      <c r="AE93" s="715"/>
      <c r="AF93" s="665"/>
      <c r="AG93" s="696">
        <f t="shared" ref="AG93:AH93" si="173">F93+H93+J93+L93+N93+P93+R93+T93+V93+X93+Z93+AB93+AD93</f>
        <v>0</v>
      </c>
      <c r="AH93" s="697">
        <f t="shared" si="173"/>
        <v>0</v>
      </c>
      <c r="AI93" s="698">
        <f t="shared" ref="AI93:AJ93" si="174">J93+H93+L93+N93+P93+R93+T93+V93+X93+Z93+AB93+AD93</f>
        <v>0</v>
      </c>
      <c r="AJ93" s="699">
        <f t="shared" si="174"/>
        <v>0</v>
      </c>
      <c r="AK93" s="541"/>
      <c r="AL93" s="541"/>
      <c r="AM93" s="716" t="s">
        <v>855</v>
      </c>
    </row>
    <row r="94" ht="26.25" hidden="1" customHeight="1">
      <c r="A94" s="679">
        <v>87.0</v>
      </c>
      <c r="B94" s="750"/>
      <c r="C94" s="751"/>
      <c r="D94" s="757"/>
      <c r="E94" s="758"/>
      <c r="F94" s="759"/>
      <c r="G94" s="760"/>
      <c r="H94" s="759"/>
      <c r="I94" s="760"/>
      <c r="J94" s="731"/>
      <c r="K94" s="732"/>
      <c r="L94" s="731"/>
      <c r="M94" s="732"/>
      <c r="N94" s="731"/>
      <c r="O94" s="756"/>
      <c r="P94" s="714"/>
      <c r="Q94" s="715"/>
      <c r="R94" s="714"/>
      <c r="S94" s="715"/>
      <c r="T94" s="714"/>
      <c r="U94" s="715"/>
      <c r="V94" s="714"/>
      <c r="W94" s="715"/>
      <c r="X94" s="714"/>
      <c r="Y94" s="715"/>
      <c r="Z94" s="714"/>
      <c r="AA94" s="715"/>
      <c r="AB94" s="714"/>
      <c r="AC94" s="715"/>
      <c r="AD94" s="714"/>
      <c r="AE94" s="715"/>
      <c r="AF94" s="665"/>
      <c r="AG94" s="696">
        <f t="shared" ref="AG94:AH94" si="175">F94+H94+J94+L94+N94+P94+R94+T94+V94+X94+Z94+AB94+AD94</f>
        <v>0</v>
      </c>
      <c r="AH94" s="697">
        <f t="shared" si="175"/>
        <v>0</v>
      </c>
      <c r="AI94" s="698">
        <f t="shared" ref="AI94:AJ94" si="176">J94+H94+L94+N94+P94+R94+T94+V94+X94+Z94+AB94+AD94</f>
        <v>0</v>
      </c>
      <c r="AJ94" s="699">
        <f t="shared" si="176"/>
        <v>0</v>
      </c>
      <c r="AK94" s="541"/>
      <c r="AL94" s="541"/>
      <c r="AM94" s="700" t="s">
        <v>867</v>
      </c>
    </row>
    <row r="95" ht="26.25" hidden="1" customHeight="1">
      <c r="A95" s="701">
        <v>88.0</v>
      </c>
      <c r="B95" s="750"/>
      <c r="C95" s="751"/>
      <c r="D95" s="757"/>
      <c r="E95" s="758"/>
      <c r="F95" s="759"/>
      <c r="G95" s="760"/>
      <c r="H95" s="759"/>
      <c r="I95" s="760"/>
      <c r="J95" s="731"/>
      <c r="K95" s="732"/>
      <c r="L95" s="731"/>
      <c r="M95" s="732"/>
      <c r="N95" s="731"/>
      <c r="O95" s="756"/>
      <c r="P95" s="714"/>
      <c r="Q95" s="715"/>
      <c r="R95" s="714"/>
      <c r="S95" s="715"/>
      <c r="T95" s="714"/>
      <c r="U95" s="715"/>
      <c r="V95" s="714"/>
      <c r="W95" s="715"/>
      <c r="X95" s="714"/>
      <c r="Y95" s="715"/>
      <c r="Z95" s="714"/>
      <c r="AA95" s="715"/>
      <c r="AB95" s="714"/>
      <c r="AC95" s="715"/>
      <c r="AD95" s="714"/>
      <c r="AE95" s="715"/>
      <c r="AF95" s="665"/>
      <c r="AG95" s="696">
        <f t="shared" ref="AG95:AH95" si="177">F95+H95+J95+L95+N95+P95+R95+T95+V95+X95+Z95+AB95+AD95</f>
        <v>0</v>
      </c>
      <c r="AH95" s="697">
        <f t="shared" si="177"/>
        <v>0</v>
      </c>
      <c r="AI95" s="698">
        <f t="shared" ref="AI95:AJ95" si="178">J95+H95+L95+N95+P95+R95+T95+V95+X95+Z95+AB95+AD95</f>
        <v>0</v>
      </c>
      <c r="AJ95" s="699">
        <f t="shared" si="178"/>
        <v>0</v>
      </c>
      <c r="AK95" s="541"/>
      <c r="AL95" s="541"/>
      <c r="AM95" s="700" t="s">
        <v>867</v>
      </c>
    </row>
    <row r="96" ht="26.25" hidden="1" customHeight="1">
      <c r="A96" s="679">
        <v>89.0</v>
      </c>
      <c r="B96" s="750"/>
      <c r="C96" s="751"/>
      <c r="D96" s="757"/>
      <c r="E96" s="758"/>
      <c r="F96" s="759"/>
      <c r="G96" s="760"/>
      <c r="H96" s="759"/>
      <c r="I96" s="760"/>
      <c r="J96" s="731"/>
      <c r="K96" s="732"/>
      <c r="L96" s="731"/>
      <c r="M96" s="732"/>
      <c r="N96" s="731"/>
      <c r="O96" s="756"/>
      <c r="P96" s="714"/>
      <c r="Q96" s="715"/>
      <c r="R96" s="714"/>
      <c r="S96" s="715"/>
      <c r="T96" s="714"/>
      <c r="U96" s="715"/>
      <c r="V96" s="714"/>
      <c r="W96" s="715"/>
      <c r="X96" s="714"/>
      <c r="Y96" s="715"/>
      <c r="Z96" s="714"/>
      <c r="AA96" s="715"/>
      <c r="AB96" s="714"/>
      <c r="AC96" s="715"/>
      <c r="AD96" s="714"/>
      <c r="AE96" s="715"/>
      <c r="AF96" s="665"/>
      <c r="AG96" s="696">
        <f t="shared" ref="AG96:AH96" si="179">F96+H96+J96+L96+N96+P96+R96+T96+V96+X96+Z96+AB96+AD96</f>
        <v>0</v>
      </c>
      <c r="AH96" s="697">
        <f t="shared" si="179"/>
        <v>0</v>
      </c>
      <c r="AI96" s="698">
        <f t="shared" ref="AI96:AJ96" si="180">J96+H96+L96+N96+P96+R96+T96+V96+X96+Z96+AB96+AD96</f>
        <v>0</v>
      </c>
      <c r="AJ96" s="699">
        <f t="shared" si="180"/>
        <v>0</v>
      </c>
      <c r="AK96" s="541"/>
      <c r="AL96" s="541"/>
      <c r="AM96" s="700" t="s">
        <v>939</v>
      </c>
    </row>
    <row r="97" ht="26.25" hidden="1" customHeight="1">
      <c r="A97" s="701">
        <v>90.0</v>
      </c>
      <c r="B97" s="750"/>
      <c r="C97" s="751"/>
      <c r="D97" s="757"/>
      <c r="E97" s="758"/>
      <c r="F97" s="759"/>
      <c r="G97" s="760"/>
      <c r="H97" s="759"/>
      <c r="I97" s="760"/>
      <c r="J97" s="731"/>
      <c r="K97" s="732"/>
      <c r="L97" s="731"/>
      <c r="M97" s="732"/>
      <c r="N97" s="731"/>
      <c r="O97" s="756"/>
      <c r="P97" s="714"/>
      <c r="Q97" s="715"/>
      <c r="R97" s="714"/>
      <c r="S97" s="715"/>
      <c r="T97" s="714"/>
      <c r="U97" s="715"/>
      <c r="V97" s="714"/>
      <c r="W97" s="715"/>
      <c r="X97" s="714"/>
      <c r="Y97" s="715"/>
      <c r="Z97" s="714"/>
      <c r="AA97" s="715"/>
      <c r="AB97" s="714"/>
      <c r="AC97" s="715"/>
      <c r="AD97" s="714"/>
      <c r="AE97" s="715"/>
      <c r="AF97" s="665"/>
      <c r="AG97" s="696">
        <f t="shared" ref="AG97:AH97" si="181">F97+H97+J97+L97+N97+P97+R97+T97+V97+X97+Z97+AB97+AD97</f>
        <v>0</v>
      </c>
      <c r="AH97" s="697">
        <f t="shared" si="181"/>
        <v>0</v>
      </c>
      <c r="AI97" s="698">
        <f t="shared" ref="AI97:AJ97" si="182">J97+H97+L97+N97+P97+R97+T97+V97+X97+Z97+AB97+AD97</f>
        <v>0</v>
      </c>
      <c r="AJ97" s="699">
        <f t="shared" si="182"/>
        <v>0</v>
      </c>
      <c r="AK97" s="541"/>
      <c r="AL97" s="541"/>
      <c r="AM97" s="700" t="s">
        <v>939</v>
      </c>
    </row>
    <row r="98" ht="26.25" hidden="1" customHeight="1">
      <c r="A98" s="679">
        <v>91.0</v>
      </c>
      <c r="B98" s="750"/>
      <c r="C98" s="751"/>
      <c r="D98" s="757"/>
      <c r="E98" s="758"/>
      <c r="F98" s="759"/>
      <c r="G98" s="760"/>
      <c r="H98" s="759"/>
      <c r="I98" s="760"/>
      <c r="J98" s="731"/>
      <c r="K98" s="732"/>
      <c r="L98" s="731"/>
      <c r="M98" s="732"/>
      <c r="N98" s="731"/>
      <c r="O98" s="756"/>
      <c r="P98" s="714"/>
      <c r="Q98" s="715"/>
      <c r="R98" s="714"/>
      <c r="S98" s="715"/>
      <c r="T98" s="714"/>
      <c r="U98" s="715"/>
      <c r="V98" s="714"/>
      <c r="W98" s="715"/>
      <c r="X98" s="714"/>
      <c r="Y98" s="715"/>
      <c r="Z98" s="714"/>
      <c r="AA98" s="715"/>
      <c r="AB98" s="714"/>
      <c r="AC98" s="715"/>
      <c r="AD98" s="714"/>
      <c r="AE98" s="715"/>
      <c r="AF98" s="665"/>
      <c r="AG98" s="696">
        <f t="shared" ref="AG98:AH98" si="183">F98+H98+J98+L98+N98+P98+R98+T98+V98+X98+Z98+AB98+AD98</f>
        <v>0</v>
      </c>
      <c r="AH98" s="697">
        <f t="shared" si="183"/>
        <v>0</v>
      </c>
      <c r="AI98" s="698">
        <f t="shared" ref="AI98:AJ98" si="184">J98+H98+L98+N98+P98+R98+T98+V98+X98+Z98+AB98+AD98</f>
        <v>0</v>
      </c>
      <c r="AJ98" s="699">
        <f t="shared" si="184"/>
        <v>0</v>
      </c>
      <c r="AK98" s="541"/>
      <c r="AL98" s="541"/>
      <c r="AM98" s="700" t="s">
        <v>844</v>
      </c>
    </row>
    <row r="99" ht="26.25" hidden="1" customHeight="1">
      <c r="A99" s="701">
        <v>92.0</v>
      </c>
      <c r="B99" s="750"/>
      <c r="C99" s="751"/>
      <c r="D99" s="757"/>
      <c r="E99" s="758"/>
      <c r="F99" s="759"/>
      <c r="G99" s="760"/>
      <c r="H99" s="759"/>
      <c r="I99" s="760"/>
      <c r="J99" s="731"/>
      <c r="K99" s="732"/>
      <c r="L99" s="731"/>
      <c r="M99" s="732"/>
      <c r="N99" s="731"/>
      <c r="O99" s="756"/>
      <c r="P99" s="714"/>
      <c r="Q99" s="715"/>
      <c r="R99" s="714"/>
      <c r="S99" s="715"/>
      <c r="T99" s="714"/>
      <c r="U99" s="715"/>
      <c r="V99" s="714"/>
      <c r="W99" s="715"/>
      <c r="X99" s="714"/>
      <c r="Y99" s="715"/>
      <c r="Z99" s="714"/>
      <c r="AA99" s="715"/>
      <c r="AB99" s="714"/>
      <c r="AC99" s="715"/>
      <c r="AD99" s="714"/>
      <c r="AE99" s="715"/>
      <c r="AF99" s="665"/>
      <c r="AG99" s="696">
        <f t="shared" ref="AG99:AH99" si="185">F99+H99+J99+L99+N99+P99+R99+T99+V99+X99+Z99+AB99+AD99</f>
        <v>0</v>
      </c>
      <c r="AH99" s="697">
        <f t="shared" si="185"/>
        <v>0</v>
      </c>
      <c r="AI99" s="698">
        <f t="shared" ref="AI99:AJ99" si="186">J99+H99+L99+N99+P99+R99+T99+V99+X99+Z99+AB99+AD99</f>
        <v>0</v>
      </c>
      <c r="AJ99" s="699">
        <f t="shared" si="186"/>
        <v>0</v>
      </c>
      <c r="AK99" s="541"/>
      <c r="AL99" s="541"/>
      <c r="AM99" s="700" t="s">
        <v>867</v>
      </c>
    </row>
    <row r="100" ht="26.25" hidden="1" customHeight="1">
      <c r="A100" s="679">
        <v>93.0</v>
      </c>
      <c r="B100" s="750"/>
      <c r="C100" s="751"/>
      <c r="D100" s="765"/>
      <c r="E100" s="758"/>
      <c r="F100" s="759"/>
      <c r="G100" s="760"/>
      <c r="H100" s="759"/>
      <c r="I100" s="760"/>
      <c r="J100" s="731"/>
      <c r="K100" s="732"/>
      <c r="L100" s="731"/>
      <c r="M100" s="732"/>
      <c r="N100" s="731"/>
      <c r="O100" s="756"/>
      <c r="P100" s="714"/>
      <c r="Q100" s="715"/>
      <c r="R100" s="714"/>
      <c r="S100" s="715"/>
      <c r="T100" s="714"/>
      <c r="U100" s="715"/>
      <c r="V100" s="714"/>
      <c r="W100" s="715"/>
      <c r="X100" s="714"/>
      <c r="Y100" s="715"/>
      <c r="Z100" s="714"/>
      <c r="AA100" s="715"/>
      <c r="AB100" s="714"/>
      <c r="AC100" s="715"/>
      <c r="AD100" s="714"/>
      <c r="AE100" s="715"/>
      <c r="AF100" s="665"/>
      <c r="AG100" s="696">
        <f t="shared" ref="AG100:AH100" si="187">F100+H100+J100+L100+N100+P100+R100+T100+V100+X100+Z100+AB100+AD100</f>
        <v>0</v>
      </c>
      <c r="AH100" s="697">
        <f t="shared" si="187"/>
        <v>0</v>
      </c>
      <c r="AI100" s="698">
        <f t="shared" ref="AI100:AJ100" si="188">J100+H100+L100+N100+P100+R100+T100+V100+X100+Z100+AB100+AD100</f>
        <v>0</v>
      </c>
      <c r="AJ100" s="699">
        <f t="shared" si="188"/>
        <v>0</v>
      </c>
      <c r="AK100" s="541"/>
      <c r="AL100" s="541"/>
      <c r="AM100" s="716" t="s">
        <v>849</v>
      </c>
    </row>
    <row r="101" ht="26.25" hidden="1" customHeight="1">
      <c r="A101" s="701">
        <v>94.0</v>
      </c>
      <c r="B101" s="750"/>
      <c r="C101" s="751"/>
      <c r="D101" s="757"/>
      <c r="E101" s="753"/>
      <c r="F101" s="754"/>
      <c r="G101" s="755"/>
      <c r="H101" s="754"/>
      <c r="I101" s="755"/>
      <c r="J101" s="731"/>
      <c r="K101" s="732"/>
      <c r="L101" s="731"/>
      <c r="M101" s="732"/>
      <c r="N101" s="731"/>
      <c r="O101" s="732"/>
      <c r="P101" s="714"/>
      <c r="Q101" s="715"/>
      <c r="R101" s="714"/>
      <c r="S101" s="715"/>
      <c r="T101" s="714"/>
      <c r="U101" s="715"/>
      <c r="V101" s="714"/>
      <c r="W101" s="715"/>
      <c r="X101" s="714"/>
      <c r="Y101" s="715"/>
      <c r="Z101" s="714"/>
      <c r="AA101" s="715"/>
      <c r="AB101" s="714"/>
      <c r="AC101" s="715"/>
      <c r="AD101" s="714"/>
      <c r="AE101" s="715"/>
      <c r="AF101" s="665"/>
      <c r="AG101" s="696">
        <f t="shared" ref="AG101:AH101" si="189">F101+H101+J101+L101+N101+P101+R101+T101+V101+X101+Z101+AB101+AD101</f>
        <v>0</v>
      </c>
      <c r="AH101" s="697">
        <f t="shared" si="189"/>
        <v>0</v>
      </c>
      <c r="AI101" s="698">
        <f t="shared" ref="AI101:AJ101" si="190">J101+H101+L101+N101+P101+R101+T101+V101+X101+Z101+AB101+AD101</f>
        <v>0</v>
      </c>
      <c r="AJ101" s="699">
        <f t="shared" si="190"/>
        <v>0</v>
      </c>
      <c r="AK101" s="541"/>
      <c r="AL101" s="541"/>
      <c r="AM101" s="700" t="s">
        <v>939</v>
      </c>
    </row>
    <row r="102" ht="26.25" hidden="1" customHeight="1">
      <c r="A102" s="679">
        <v>95.0</v>
      </c>
      <c r="B102" s="750"/>
      <c r="C102" s="751"/>
      <c r="D102" s="757"/>
      <c r="E102" s="758"/>
      <c r="F102" s="759"/>
      <c r="G102" s="760"/>
      <c r="H102" s="759"/>
      <c r="I102" s="760"/>
      <c r="J102" s="731"/>
      <c r="K102" s="732"/>
      <c r="L102" s="731"/>
      <c r="M102" s="732"/>
      <c r="N102" s="731"/>
      <c r="O102" s="732"/>
      <c r="P102" s="714"/>
      <c r="Q102" s="715"/>
      <c r="R102" s="714"/>
      <c r="S102" s="715"/>
      <c r="T102" s="714"/>
      <c r="U102" s="715"/>
      <c r="V102" s="714"/>
      <c r="W102" s="715"/>
      <c r="X102" s="714"/>
      <c r="Y102" s="715"/>
      <c r="Z102" s="714"/>
      <c r="AA102" s="715"/>
      <c r="AB102" s="714"/>
      <c r="AC102" s="715"/>
      <c r="AD102" s="714"/>
      <c r="AE102" s="715"/>
      <c r="AF102" s="665"/>
      <c r="AG102" s="696">
        <f t="shared" ref="AG102:AH102" si="191">F102+H102+J102+L102+N102+P102+R102+T102+V102+X102+Z102+AB102+AD102</f>
        <v>0</v>
      </c>
      <c r="AH102" s="697">
        <f t="shared" si="191"/>
        <v>0</v>
      </c>
      <c r="AI102" s="698">
        <f t="shared" ref="AI102:AJ102" si="192">J102+H102+L102+N102+P102+R102+T102+V102+X102+Z102+AB102+AD102</f>
        <v>0</v>
      </c>
      <c r="AJ102" s="699">
        <f t="shared" si="192"/>
        <v>0</v>
      </c>
      <c r="AK102" s="541"/>
      <c r="AL102" s="541"/>
      <c r="AM102" s="716" t="s">
        <v>855</v>
      </c>
    </row>
    <row r="103" ht="26.25" hidden="1" customHeight="1">
      <c r="A103" s="701">
        <v>96.0</v>
      </c>
      <c r="B103" s="750"/>
      <c r="C103" s="751"/>
      <c r="D103" s="757"/>
      <c r="E103" s="758"/>
      <c r="F103" s="759"/>
      <c r="G103" s="760"/>
      <c r="H103" s="759"/>
      <c r="I103" s="760"/>
      <c r="J103" s="731"/>
      <c r="K103" s="732"/>
      <c r="L103" s="731"/>
      <c r="M103" s="732"/>
      <c r="N103" s="731"/>
      <c r="O103" s="732"/>
      <c r="P103" s="714"/>
      <c r="Q103" s="715"/>
      <c r="R103" s="714"/>
      <c r="S103" s="715"/>
      <c r="T103" s="714"/>
      <c r="U103" s="715"/>
      <c r="V103" s="714"/>
      <c r="W103" s="715"/>
      <c r="X103" s="714"/>
      <c r="Y103" s="715"/>
      <c r="Z103" s="714"/>
      <c r="AA103" s="715"/>
      <c r="AB103" s="714"/>
      <c r="AC103" s="715"/>
      <c r="AD103" s="714"/>
      <c r="AE103" s="715"/>
      <c r="AF103" s="665"/>
      <c r="AG103" s="696">
        <f t="shared" ref="AG103:AH103" si="193">F103+H103+J103+L103+N103+P103+R103+T103+V103+X103+Z103+AB103+AD103</f>
        <v>0</v>
      </c>
      <c r="AH103" s="697">
        <f t="shared" si="193"/>
        <v>0</v>
      </c>
      <c r="AI103" s="698">
        <f t="shared" ref="AI103:AJ103" si="194">J103+H103+L103+N103+P103+R103+T103+V103+X103+Z103+AB103+AD103</f>
        <v>0</v>
      </c>
      <c r="AJ103" s="699">
        <f t="shared" si="194"/>
        <v>0</v>
      </c>
      <c r="AK103" s="541"/>
      <c r="AL103" s="541"/>
      <c r="AM103" s="700" t="s">
        <v>939</v>
      </c>
    </row>
    <row r="104" ht="26.25" hidden="1" customHeight="1">
      <c r="A104" s="679">
        <v>97.0</v>
      </c>
      <c r="B104" s="750"/>
      <c r="C104" s="751"/>
      <c r="D104" s="752"/>
      <c r="E104" s="753"/>
      <c r="F104" s="754"/>
      <c r="G104" s="755"/>
      <c r="H104" s="754"/>
      <c r="I104" s="755"/>
      <c r="J104" s="731"/>
      <c r="K104" s="732"/>
      <c r="L104" s="731"/>
      <c r="M104" s="732"/>
      <c r="N104" s="731"/>
      <c r="O104" s="732"/>
      <c r="P104" s="714"/>
      <c r="Q104" s="715"/>
      <c r="R104" s="714"/>
      <c r="S104" s="715"/>
      <c r="T104" s="714"/>
      <c r="U104" s="715"/>
      <c r="V104" s="714"/>
      <c r="W104" s="715"/>
      <c r="X104" s="714"/>
      <c r="Y104" s="715"/>
      <c r="Z104" s="714"/>
      <c r="AA104" s="715"/>
      <c r="AB104" s="714"/>
      <c r="AC104" s="715"/>
      <c r="AD104" s="714"/>
      <c r="AE104" s="715"/>
      <c r="AF104" s="665"/>
      <c r="AG104" s="696">
        <f t="shared" ref="AG104:AH104" si="195">F104+H104+J104+L104+N104+P104+R104+T104+V104+X104+Z104+AB104+AD104</f>
        <v>0</v>
      </c>
      <c r="AH104" s="697">
        <f t="shared" si="195"/>
        <v>0</v>
      </c>
      <c r="AI104" s="698">
        <f t="shared" ref="AI104:AJ104" si="196">J104+H104+L104+N104+P104+R104+T104+V104+X104+Z104+AB104+AD104</f>
        <v>0</v>
      </c>
      <c r="AJ104" s="699">
        <f t="shared" si="196"/>
        <v>0</v>
      </c>
      <c r="AK104" s="541"/>
      <c r="AL104" s="541"/>
      <c r="AM104" s="716" t="s">
        <v>849</v>
      </c>
    </row>
    <row r="105" ht="26.25" hidden="1" customHeight="1">
      <c r="A105" s="701">
        <v>98.0</v>
      </c>
      <c r="B105" s="750"/>
      <c r="C105" s="751"/>
      <c r="D105" s="757"/>
      <c r="E105" s="758"/>
      <c r="F105" s="759"/>
      <c r="G105" s="760"/>
      <c r="H105" s="759"/>
      <c r="I105" s="760"/>
      <c r="J105" s="731"/>
      <c r="K105" s="732"/>
      <c r="L105" s="731"/>
      <c r="M105" s="732"/>
      <c r="N105" s="731"/>
      <c r="O105" s="756"/>
      <c r="P105" s="714"/>
      <c r="Q105" s="715"/>
      <c r="R105" s="714"/>
      <c r="S105" s="715"/>
      <c r="T105" s="714"/>
      <c r="U105" s="715"/>
      <c r="V105" s="714"/>
      <c r="W105" s="715"/>
      <c r="X105" s="714"/>
      <c r="Y105" s="715"/>
      <c r="Z105" s="714"/>
      <c r="AA105" s="715"/>
      <c r="AB105" s="714"/>
      <c r="AC105" s="715"/>
      <c r="AD105" s="714"/>
      <c r="AE105" s="715"/>
      <c r="AF105" s="665"/>
      <c r="AG105" s="696">
        <f t="shared" ref="AG105:AH105" si="197">F105+H105+J105+L105+N105+P105+R105+T105+V105+X105+Z105+AB105+AD105</f>
        <v>0</v>
      </c>
      <c r="AH105" s="697">
        <f t="shared" si="197"/>
        <v>0</v>
      </c>
      <c r="AI105" s="698">
        <f t="shared" ref="AI105:AJ105" si="198">J105+H105+L105+N105+P105+R105+T105+V105+X105+Z105+AB105+AD105</f>
        <v>0</v>
      </c>
      <c r="AJ105" s="699">
        <f t="shared" si="198"/>
        <v>0</v>
      </c>
      <c r="AK105" s="541"/>
      <c r="AL105" s="541"/>
      <c r="AM105" s="700" t="s">
        <v>939</v>
      </c>
    </row>
    <row r="106" ht="26.25" hidden="1" customHeight="1">
      <c r="A106" s="679">
        <v>99.0</v>
      </c>
      <c r="B106" s="750"/>
      <c r="C106" s="751"/>
      <c r="D106" s="752"/>
      <c r="E106" s="753"/>
      <c r="F106" s="754"/>
      <c r="G106" s="755"/>
      <c r="H106" s="754"/>
      <c r="I106" s="755"/>
      <c r="J106" s="731"/>
      <c r="K106" s="732"/>
      <c r="L106" s="731"/>
      <c r="M106" s="732"/>
      <c r="N106" s="731"/>
      <c r="O106" s="756"/>
      <c r="P106" s="714"/>
      <c r="Q106" s="715"/>
      <c r="R106" s="714"/>
      <c r="S106" s="715"/>
      <c r="T106" s="714"/>
      <c r="U106" s="715"/>
      <c r="V106" s="714"/>
      <c r="W106" s="715"/>
      <c r="X106" s="714"/>
      <c r="Y106" s="715"/>
      <c r="Z106" s="714"/>
      <c r="AA106" s="715"/>
      <c r="AB106" s="714"/>
      <c r="AC106" s="715"/>
      <c r="AD106" s="714"/>
      <c r="AE106" s="715"/>
      <c r="AF106" s="665"/>
      <c r="AG106" s="696">
        <f t="shared" ref="AG106:AH106" si="199">F106+H106+J106+L106+N106+P106+R106+T106+V106+X106+Z106+AB106+AD106</f>
        <v>0</v>
      </c>
      <c r="AH106" s="697">
        <f t="shared" si="199"/>
        <v>0</v>
      </c>
      <c r="AI106" s="698">
        <f t="shared" ref="AI106:AJ106" si="200">J106+H106+L106+N106+P106+R106+T106+V106+X106+Z106+AB106+AD106</f>
        <v>0</v>
      </c>
      <c r="AJ106" s="699">
        <f t="shared" si="200"/>
        <v>0</v>
      </c>
      <c r="AK106" s="541"/>
      <c r="AL106" s="541"/>
      <c r="AM106" s="700" t="s">
        <v>844</v>
      </c>
    </row>
    <row r="107" ht="26.25" hidden="1" customHeight="1">
      <c r="A107" s="701">
        <v>100.0</v>
      </c>
      <c r="B107" s="750"/>
      <c r="C107" s="751"/>
      <c r="D107" s="757"/>
      <c r="E107" s="758"/>
      <c r="F107" s="759"/>
      <c r="G107" s="760"/>
      <c r="H107" s="759"/>
      <c r="I107" s="760"/>
      <c r="J107" s="731"/>
      <c r="K107" s="732"/>
      <c r="L107" s="731"/>
      <c r="M107" s="732"/>
      <c r="N107" s="731"/>
      <c r="O107" s="756"/>
      <c r="P107" s="714"/>
      <c r="Q107" s="715"/>
      <c r="R107" s="714"/>
      <c r="S107" s="715"/>
      <c r="T107" s="714"/>
      <c r="U107" s="715"/>
      <c r="V107" s="714"/>
      <c r="W107" s="715"/>
      <c r="X107" s="714"/>
      <c r="Y107" s="715"/>
      <c r="Z107" s="714"/>
      <c r="AA107" s="715"/>
      <c r="AB107" s="714"/>
      <c r="AC107" s="715"/>
      <c r="AD107" s="714"/>
      <c r="AE107" s="715"/>
      <c r="AF107" s="665"/>
      <c r="AG107" s="696">
        <f t="shared" ref="AG107:AH107" si="201">F107+H107+J107+L107+N107+P107+R107+T107+V107+X107+Z107+AB107+AD107</f>
        <v>0</v>
      </c>
      <c r="AH107" s="697">
        <f t="shared" si="201"/>
        <v>0</v>
      </c>
      <c r="AI107" s="698">
        <f t="shared" ref="AI107:AJ107" si="202">J107+H107+L107+N107+P107+R107+T107+V107+X107+Z107+AB107+AD107</f>
        <v>0</v>
      </c>
      <c r="AJ107" s="699">
        <f t="shared" si="202"/>
        <v>0</v>
      </c>
      <c r="AK107" s="541"/>
      <c r="AL107" s="541"/>
      <c r="AM107" s="716" t="s">
        <v>849</v>
      </c>
    </row>
    <row r="108" ht="26.25" hidden="1" customHeight="1">
      <c r="A108" s="679">
        <v>101.0</v>
      </c>
      <c r="B108" s="750"/>
      <c r="C108" s="751"/>
      <c r="D108" s="757"/>
      <c r="E108" s="758"/>
      <c r="F108" s="759"/>
      <c r="G108" s="760"/>
      <c r="H108" s="759"/>
      <c r="I108" s="760"/>
      <c r="J108" s="731"/>
      <c r="K108" s="732"/>
      <c r="L108" s="731"/>
      <c r="M108" s="732"/>
      <c r="N108" s="731"/>
      <c r="O108" s="756"/>
      <c r="P108" s="714"/>
      <c r="Q108" s="715"/>
      <c r="R108" s="714"/>
      <c r="S108" s="715"/>
      <c r="T108" s="714"/>
      <c r="U108" s="715"/>
      <c r="V108" s="714"/>
      <c r="W108" s="715"/>
      <c r="X108" s="714"/>
      <c r="Y108" s="715"/>
      <c r="Z108" s="714"/>
      <c r="AA108" s="715"/>
      <c r="AB108" s="714"/>
      <c r="AC108" s="715"/>
      <c r="AD108" s="714"/>
      <c r="AE108" s="715"/>
      <c r="AF108" s="665"/>
      <c r="AG108" s="696">
        <f t="shared" ref="AG108:AH108" si="203">F108+H108+J108+L108+N108+P108+R108+T108+V108+X108+Z108+AB108+AD108</f>
        <v>0</v>
      </c>
      <c r="AH108" s="697">
        <f t="shared" si="203"/>
        <v>0</v>
      </c>
      <c r="AI108" s="698">
        <f t="shared" ref="AI108:AJ108" si="204">J108+H108+L108+N108+P108+R108+T108+V108+X108+Z108+AB108+AD108</f>
        <v>0</v>
      </c>
      <c r="AJ108" s="699">
        <f t="shared" si="204"/>
        <v>0</v>
      </c>
      <c r="AK108" s="541"/>
      <c r="AL108" s="541"/>
      <c r="AM108" s="716" t="s">
        <v>849</v>
      </c>
    </row>
    <row r="109" ht="26.25" hidden="1" customHeight="1">
      <c r="A109" s="701">
        <v>102.0</v>
      </c>
      <c r="B109" s="750"/>
      <c r="C109" s="751"/>
      <c r="D109" s="757"/>
      <c r="E109" s="758"/>
      <c r="F109" s="759"/>
      <c r="G109" s="760"/>
      <c r="H109" s="759"/>
      <c r="I109" s="760"/>
      <c r="J109" s="731"/>
      <c r="K109" s="732"/>
      <c r="L109" s="731"/>
      <c r="M109" s="732"/>
      <c r="N109" s="731"/>
      <c r="O109" s="756"/>
      <c r="P109" s="714"/>
      <c r="Q109" s="715"/>
      <c r="R109" s="714"/>
      <c r="S109" s="715"/>
      <c r="T109" s="714"/>
      <c r="U109" s="715"/>
      <c r="V109" s="714"/>
      <c r="W109" s="715"/>
      <c r="X109" s="714"/>
      <c r="Y109" s="715"/>
      <c r="Z109" s="714"/>
      <c r="AA109" s="715"/>
      <c r="AB109" s="714"/>
      <c r="AC109" s="715"/>
      <c r="AD109" s="714"/>
      <c r="AE109" s="715"/>
      <c r="AF109" s="665"/>
      <c r="AG109" s="696">
        <f t="shared" ref="AG109:AH109" si="205">F109+H109+J109+L109+N109+P109+R109+T109+V109+X109+Z109+AB109+AD109</f>
        <v>0</v>
      </c>
      <c r="AH109" s="697">
        <f t="shared" si="205"/>
        <v>0</v>
      </c>
      <c r="AI109" s="698">
        <f t="shared" ref="AI109:AJ109" si="206">J109+H109+L109+N109+P109+R109+T109+V109+X109+Z109+AB109+AD109</f>
        <v>0</v>
      </c>
      <c r="AJ109" s="699">
        <f t="shared" si="206"/>
        <v>0</v>
      </c>
      <c r="AK109" s="541"/>
      <c r="AL109" s="541"/>
      <c r="AM109" s="716" t="s">
        <v>849</v>
      </c>
    </row>
    <row r="110" ht="26.25" hidden="1" customHeight="1">
      <c r="A110" s="679">
        <v>103.0</v>
      </c>
      <c r="B110" s="750"/>
      <c r="C110" s="751"/>
      <c r="D110" s="757"/>
      <c r="E110" s="758"/>
      <c r="F110" s="759"/>
      <c r="G110" s="760"/>
      <c r="H110" s="759"/>
      <c r="I110" s="760"/>
      <c r="J110" s="731"/>
      <c r="K110" s="732"/>
      <c r="L110" s="731"/>
      <c r="M110" s="732"/>
      <c r="N110" s="731"/>
      <c r="O110" s="756"/>
      <c r="P110" s="714"/>
      <c r="Q110" s="715"/>
      <c r="R110" s="714"/>
      <c r="S110" s="715"/>
      <c r="T110" s="714"/>
      <c r="U110" s="715"/>
      <c r="V110" s="714"/>
      <c r="W110" s="715"/>
      <c r="X110" s="714"/>
      <c r="Y110" s="715"/>
      <c r="Z110" s="714"/>
      <c r="AA110" s="715"/>
      <c r="AB110" s="714"/>
      <c r="AC110" s="715"/>
      <c r="AD110" s="714"/>
      <c r="AE110" s="715"/>
      <c r="AF110" s="665"/>
      <c r="AG110" s="696">
        <f t="shared" ref="AG110:AH110" si="207">F110+H110+J110+L110+N110+P110+R110+T110+V110+X110+Z110+AB110+AD110</f>
        <v>0</v>
      </c>
      <c r="AH110" s="697">
        <f t="shared" si="207"/>
        <v>0</v>
      </c>
      <c r="AI110" s="698">
        <f t="shared" ref="AI110:AJ110" si="208">J110+H110+L110+N110+P110+R110+T110+V110+X110+Z110+AB110+AD110</f>
        <v>0</v>
      </c>
      <c r="AJ110" s="699">
        <f t="shared" si="208"/>
        <v>0</v>
      </c>
      <c r="AK110" s="541"/>
      <c r="AL110" s="541"/>
      <c r="AM110" s="700" t="s">
        <v>844</v>
      </c>
    </row>
    <row r="111" ht="26.25" hidden="1" customHeight="1">
      <c r="A111" s="701">
        <v>104.0</v>
      </c>
      <c r="B111" s="750"/>
      <c r="C111" s="751"/>
      <c r="D111" s="757"/>
      <c r="E111" s="758"/>
      <c r="F111" s="759"/>
      <c r="G111" s="760"/>
      <c r="H111" s="759"/>
      <c r="I111" s="760"/>
      <c r="J111" s="731"/>
      <c r="K111" s="732"/>
      <c r="L111" s="731"/>
      <c r="M111" s="732"/>
      <c r="N111" s="731"/>
      <c r="O111" s="756"/>
      <c r="P111" s="714"/>
      <c r="Q111" s="715"/>
      <c r="R111" s="714"/>
      <c r="S111" s="715"/>
      <c r="T111" s="714"/>
      <c r="U111" s="715"/>
      <c r="V111" s="714"/>
      <c r="W111" s="715"/>
      <c r="X111" s="714"/>
      <c r="Y111" s="715"/>
      <c r="Z111" s="714"/>
      <c r="AA111" s="715"/>
      <c r="AB111" s="714"/>
      <c r="AC111" s="715"/>
      <c r="AD111" s="714"/>
      <c r="AE111" s="715"/>
      <c r="AF111" s="665"/>
      <c r="AG111" s="696">
        <f t="shared" ref="AG111:AH111" si="209">F111+H111+J111+L111+N111+P111+R111+T111+V111+X111+Z111+AB111+AD111</f>
        <v>0</v>
      </c>
      <c r="AH111" s="697">
        <f t="shared" si="209"/>
        <v>0</v>
      </c>
      <c r="AI111" s="698">
        <f t="shared" ref="AI111:AJ111" si="210">J111+H111+L111+N111+P111+R111+T111+V111+X111+Z111+AB111+AD111</f>
        <v>0</v>
      </c>
      <c r="AJ111" s="699">
        <f t="shared" si="210"/>
        <v>0</v>
      </c>
      <c r="AK111" s="541"/>
      <c r="AL111" s="541"/>
      <c r="AM111" s="716" t="s">
        <v>855</v>
      </c>
    </row>
    <row r="112" ht="26.25" hidden="1" customHeight="1">
      <c r="A112" s="679">
        <v>105.0</v>
      </c>
      <c r="B112" s="750"/>
      <c r="C112" s="751"/>
      <c r="D112" s="757"/>
      <c r="E112" s="758"/>
      <c r="F112" s="759"/>
      <c r="G112" s="760"/>
      <c r="H112" s="759"/>
      <c r="I112" s="760"/>
      <c r="J112" s="714"/>
      <c r="K112" s="715"/>
      <c r="L112" s="714"/>
      <c r="M112" s="715"/>
      <c r="N112" s="714"/>
      <c r="O112" s="766"/>
      <c r="P112" s="714"/>
      <c r="Q112" s="715"/>
      <c r="R112" s="714"/>
      <c r="S112" s="715"/>
      <c r="T112" s="714"/>
      <c r="U112" s="715"/>
      <c r="V112" s="714"/>
      <c r="W112" s="715"/>
      <c r="X112" s="714"/>
      <c r="Y112" s="715"/>
      <c r="Z112" s="714"/>
      <c r="AA112" s="715"/>
      <c r="AB112" s="714"/>
      <c r="AC112" s="715"/>
      <c r="AD112" s="714"/>
      <c r="AE112" s="715"/>
      <c r="AF112" s="665"/>
      <c r="AG112" s="696">
        <f t="shared" ref="AG112:AH112" si="211">F112+H112+J112+L112+N112+P112+R112+T112+V112+X112+Z112+AB112+AD112</f>
        <v>0</v>
      </c>
      <c r="AH112" s="697">
        <f t="shared" si="211"/>
        <v>0</v>
      </c>
      <c r="AI112" s="698">
        <f t="shared" ref="AI112:AJ112" si="212">J112+H112+L112+N112+P112+R112+T112+V112+X112+Z112+AB112+AD112</f>
        <v>0</v>
      </c>
      <c r="AJ112" s="699">
        <f t="shared" si="212"/>
        <v>0</v>
      </c>
      <c r="AK112" s="541"/>
      <c r="AL112" s="541"/>
      <c r="AM112" s="700" t="s">
        <v>867</v>
      </c>
    </row>
    <row r="113" ht="26.25" hidden="1" customHeight="1">
      <c r="A113" s="701">
        <v>106.0</v>
      </c>
      <c r="B113" s="750"/>
      <c r="C113" s="751"/>
      <c r="D113" s="752"/>
      <c r="E113" s="753"/>
      <c r="F113" s="754"/>
      <c r="G113" s="755"/>
      <c r="H113" s="754"/>
      <c r="I113" s="755"/>
      <c r="J113" s="714"/>
      <c r="K113" s="715"/>
      <c r="L113" s="714"/>
      <c r="M113" s="715"/>
      <c r="N113" s="714"/>
      <c r="O113" s="766"/>
      <c r="P113" s="714"/>
      <c r="Q113" s="715"/>
      <c r="R113" s="714"/>
      <c r="S113" s="715"/>
      <c r="T113" s="714"/>
      <c r="U113" s="715"/>
      <c r="V113" s="714"/>
      <c r="W113" s="715"/>
      <c r="X113" s="714"/>
      <c r="Y113" s="715"/>
      <c r="Z113" s="714"/>
      <c r="AA113" s="715"/>
      <c r="AB113" s="714"/>
      <c r="AC113" s="715"/>
      <c r="AD113" s="714"/>
      <c r="AE113" s="715"/>
      <c r="AF113" s="665"/>
      <c r="AG113" s="696">
        <f t="shared" ref="AG113:AH113" si="213">F113+H113+J113+L113+N113+P113+R113+T113+V113+X113+Z113+AB113+AD113</f>
        <v>0</v>
      </c>
      <c r="AH113" s="697">
        <f t="shared" si="213"/>
        <v>0</v>
      </c>
      <c r="AI113" s="698">
        <f t="shared" ref="AI113:AJ113" si="214">J113+H113+L113+N113+P113+R113+T113+V113+X113+Z113+AB113+AD113</f>
        <v>0</v>
      </c>
      <c r="AJ113" s="699">
        <f t="shared" si="214"/>
        <v>0</v>
      </c>
      <c r="AK113" s="541"/>
      <c r="AL113" s="541"/>
      <c r="AM113" s="700" t="s">
        <v>867</v>
      </c>
    </row>
    <row r="114" ht="26.25" hidden="1" customHeight="1">
      <c r="A114" s="679">
        <v>107.0</v>
      </c>
      <c r="B114" s="750"/>
      <c r="C114" s="751"/>
      <c r="D114" s="757"/>
      <c r="E114" s="758"/>
      <c r="F114" s="759"/>
      <c r="G114" s="760"/>
      <c r="H114" s="759"/>
      <c r="I114" s="760"/>
      <c r="J114" s="714"/>
      <c r="K114" s="715"/>
      <c r="L114" s="714"/>
      <c r="M114" s="715"/>
      <c r="N114" s="714"/>
      <c r="O114" s="766"/>
      <c r="P114" s="714"/>
      <c r="Q114" s="715"/>
      <c r="R114" s="714"/>
      <c r="S114" s="715"/>
      <c r="T114" s="714"/>
      <c r="U114" s="715"/>
      <c r="V114" s="714"/>
      <c r="W114" s="715"/>
      <c r="X114" s="714"/>
      <c r="Y114" s="715"/>
      <c r="Z114" s="714"/>
      <c r="AA114" s="715"/>
      <c r="AB114" s="714"/>
      <c r="AC114" s="715"/>
      <c r="AD114" s="714"/>
      <c r="AE114" s="715"/>
      <c r="AF114" s="665"/>
      <c r="AG114" s="696">
        <f t="shared" ref="AG114:AH114" si="215">F114+H114+J114+L114+N114+P114+R114+T114+V114+X114+Z114+AB114+AD114</f>
        <v>0</v>
      </c>
      <c r="AH114" s="697">
        <f t="shared" si="215"/>
        <v>0</v>
      </c>
      <c r="AI114" s="698">
        <f t="shared" ref="AI114:AJ114" si="216">J114+H114+L114+N114+P114+R114+T114+V114+X114+Z114+AB114+AD114</f>
        <v>0</v>
      </c>
      <c r="AJ114" s="699">
        <f t="shared" si="216"/>
        <v>0</v>
      </c>
      <c r="AK114" s="541"/>
      <c r="AL114" s="541"/>
      <c r="AM114" s="716" t="s">
        <v>855</v>
      </c>
    </row>
    <row r="115" ht="26.25" hidden="1" customHeight="1">
      <c r="A115" s="701">
        <v>108.0</v>
      </c>
      <c r="B115" s="750"/>
      <c r="C115" s="751"/>
      <c r="D115" s="757"/>
      <c r="E115" s="758"/>
      <c r="F115" s="759"/>
      <c r="G115" s="760"/>
      <c r="H115" s="759"/>
      <c r="I115" s="760"/>
      <c r="J115" s="714"/>
      <c r="K115" s="715"/>
      <c r="L115" s="714"/>
      <c r="M115" s="715"/>
      <c r="N115" s="714"/>
      <c r="O115" s="766"/>
      <c r="P115" s="714"/>
      <c r="Q115" s="715"/>
      <c r="R115" s="714"/>
      <c r="S115" s="715"/>
      <c r="T115" s="714"/>
      <c r="U115" s="715"/>
      <c r="V115" s="714"/>
      <c r="W115" s="715"/>
      <c r="X115" s="714"/>
      <c r="Y115" s="715"/>
      <c r="Z115" s="714"/>
      <c r="AA115" s="715"/>
      <c r="AB115" s="714"/>
      <c r="AC115" s="715"/>
      <c r="AD115" s="714"/>
      <c r="AE115" s="715"/>
      <c r="AF115" s="665"/>
      <c r="AG115" s="696">
        <f t="shared" ref="AG115:AH115" si="217">F115+H115+J115+L115+N115+P115+R115+T115+V115+X115+Z115+AB115+AD115</f>
        <v>0</v>
      </c>
      <c r="AH115" s="697">
        <f t="shared" si="217"/>
        <v>0</v>
      </c>
      <c r="AI115" s="698">
        <f t="shared" ref="AI115:AJ115" si="218">J115+H115+L115+N115+P115+R115+T115+V115+X115+Z115+AB115+AD115</f>
        <v>0</v>
      </c>
      <c r="AJ115" s="699">
        <f t="shared" si="218"/>
        <v>0</v>
      </c>
      <c r="AK115" s="541"/>
      <c r="AL115" s="541"/>
      <c r="AM115" s="716" t="s">
        <v>855</v>
      </c>
    </row>
    <row r="116" ht="26.25" hidden="1" customHeight="1">
      <c r="A116" s="679">
        <v>109.0</v>
      </c>
      <c r="B116" s="750"/>
      <c r="C116" s="751"/>
      <c r="D116" s="752"/>
      <c r="E116" s="753"/>
      <c r="F116" s="754"/>
      <c r="G116" s="755"/>
      <c r="H116" s="754"/>
      <c r="I116" s="755"/>
      <c r="J116" s="714"/>
      <c r="K116" s="715"/>
      <c r="L116" s="714"/>
      <c r="M116" s="715"/>
      <c r="N116" s="714"/>
      <c r="O116" s="766"/>
      <c r="P116" s="714"/>
      <c r="Q116" s="715"/>
      <c r="R116" s="714"/>
      <c r="S116" s="715"/>
      <c r="T116" s="714"/>
      <c r="U116" s="715"/>
      <c r="V116" s="714"/>
      <c r="W116" s="715"/>
      <c r="X116" s="714"/>
      <c r="Y116" s="715"/>
      <c r="Z116" s="714"/>
      <c r="AA116" s="715"/>
      <c r="AB116" s="714"/>
      <c r="AC116" s="715"/>
      <c r="AD116" s="714"/>
      <c r="AE116" s="715"/>
      <c r="AF116" s="665"/>
      <c r="AG116" s="696">
        <f t="shared" ref="AG116:AH116" si="219">F116+H116+J116+L116+N116+P116+R116+T116+V116+X116+Z116+AB116+AD116</f>
        <v>0</v>
      </c>
      <c r="AH116" s="697">
        <f t="shared" si="219"/>
        <v>0</v>
      </c>
      <c r="AI116" s="698">
        <f t="shared" ref="AI116:AJ116" si="220">J116+H116+L116+N116+P116+R116+T116+V116+X116+Z116+AB116+AD116</f>
        <v>0</v>
      </c>
      <c r="AJ116" s="699">
        <f t="shared" si="220"/>
        <v>0</v>
      </c>
      <c r="AK116" s="541"/>
      <c r="AL116" s="541"/>
      <c r="AM116" s="700" t="s">
        <v>867</v>
      </c>
    </row>
    <row r="117" ht="26.25" hidden="1" customHeight="1">
      <c r="A117" s="767">
        <v>110.0</v>
      </c>
      <c r="B117" s="768"/>
      <c r="C117" s="769"/>
      <c r="D117" s="768"/>
      <c r="E117" s="770"/>
      <c r="F117" s="714"/>
      <c r="G117" s="715"/>
      <c r="H117" s="714"/>
      <c r="I117" s="715"/>
      <c r="J117" s="714"/>
      <c r="K117" s="715"/>
      <c r="L117" s="714"/>
      <c r="M117" s="715"/>
      <c r="N117" s="714"/>
      <c r="O117" s="766"/>
      <c r="P117" s="714"/>
      <c r="Q117" s="715"/>
      <c r="R117" s="714"/>
      <c r="S117" s="715"/>
      <c r="T117" s="714"/>
      <c r="U117" s="715"/>
      <c r="V117" s="714"/>
      <c r="W117" s="715"/>
      <c r="X117" s="714"/>
      <c r="Y117" s="715"/>
      <c r="Z117" s="714"/>
      <c r="AA117" s="715"/>
      <c r="AB117" s="714"/>
      <c r="AC117" s="715"/>
      <c r="AD117" s="714"/>
      <c r="AE117" s="715"/>
      <c r="AF117" s="665"/>
      <c r="AG117" s="696">
        <f t="shared" ref="AG117:AH117" si="221">F117+H117+J117+L117+N117+P117+R117+T117+V117+X117+Z117+AB117+AD117</f>
        <v>0</v>
      </c>
      <c r="AH117" s="697">
        <f t="shared" si="221"/>
        <v>0</v>
      </c>
      <c r="AI117" s="771"/>
      <c r="AJ117" s="772"/>
      <c r="AK117" s="541"/>
      <c r="AL117" s="541"/>
      <c r="AM117" s="700" t="s">
        <v>844</v>
      </c>
    </row>
    <row r="118" ht="26.25" hidden="1" customHeight="1">
      <c r="A118" s="773">
        <v>111.0</v>
      </c>
      <c r="B118" s="768"/>
      <c r="C118" s="769"/>
      <c r="D118" s="768"/>
      <c r="E118" s="770"/>
      <c r="F118" s="714"/>
      <c r="G118" s="715"/>
      <c r="H118" s="714"/>
      <c r="I118" s="715"/>
      <c r="J118" s="714"/>
      <c r="K118" s="715"/>
      <c r="L118" s="714"/>
      <c r="M118" s="715"/>
      <c r="N118" s="714"/>
      <c r="O118" s="766"/>
      <c r="P118" s="714"/>
      <c r="Q118" s="715"/>
      <c r="R118" s="714"/>
      <c r="S118" s="715"/>
      <c r="T118" s="714"/>
      <c r="U118" s="715"/>
      <c r="V118" s="714"/>
      <c r="W118" s="715"/>
      <c r="X118" s="714"/>
      <c r="Y118" s="715"/>
      <c r="Z118" s="714"/>
      <c r="AA118" s="715"/>
      <c r="AB118" s="714"/>
      <c r="AC118" s="715"/>
      <c r="AD118" s="714"/>
      <c r="AE118" s="715"/>
      <c r="AF118" s="665"/>
      <c r="AG118" s="696">
        <f t="shared" ref="AG118:AH118" si="222">F118+H118+J118+L118+N118+P118+R118+T118+V118+X118+Z118+AB118+AD118</f>
        <v>0</v>
      </c>
      <c r="AH118" s="697">
        <f t="shared" si="222"/>
        <v>0</v>
      </c>
      <c r="AI118" s="771"/>
      <c r="AJ118" s="772"/>
      <c r="AK118" s="541"/>
      <c r="AL118" s="541"/>
      <c r="AM118" s="716" t="s">
        <v>852</v>
      </c>
    </row>
    <row r="119" ht="26.25" hidden="1" customHeight="1">
      <c r="A119" s="767">
        <v>112.0</v>
      </c>
      <c r="B119" s="768"/>
      <c r="C119" s="769"/>
      <c r="D119" s="768"/>
      <c r="E119" s="770"/>
      <c r="F119" s="714"/>
      <c r="G119" s="715"/>
      <c r="H119" s="714"/>
      <c r="I119" s="715"/>
      <c r="J119" s="714"/>
      <c r="K119" s="715"/>
      <c r="L119" s="714"/>
      <c r="M119" s="715"/>
      <c r="N119" s="714"/>
      <c r="O119" s="766"/>
      <c r="P119" s="714"/>
      <c r="Q119" s="715"/>
      <c r="R119" s="714"/>
      <c r="S119" s="715"/>
      <c r="T119" s="714"/>
      <c r="U119" s="715"/>
      <c r="V119" s="714"/>
      <c r="W119" s="715"/>
      <c r="X119" s="714"/>
      <c r="Y119" s="715"/>
      <c r="Z119" s="714"/>
      <c r="AA119" s="715"/>
      <c r="AB119" s="714"/>
      <c r="AC119" s="715"/>
      <c r="AD119" s="714"/>
      <c r="AE119" s="715"/>
      <c r="AF119" s="665"/>
      <c r="AG119" s="696">
        <f t="shared" ref="AG119:AH119" si="223">F119+H119+J119+L119+N119+P119+R119+T119+V119+X119+Z119+AB119+AD119</f>
        <v>0</v>
      </c>
      <c r="AH119" s="697">
        <f t="shared" si="223"/>
        <v>0</v>
      </c>
      <c r="AI119" s="771"/>
      <c r="AJ119" s="772"/>
      <c r="AK119" s="541"/>
      <c r="AL119" s="541"/>
      <c r="AM119" s="716" t="s">
        <v>932</v>
      </c>
    </row>
    <row r="120" ht="26.25" hidden="1" customHeight="1">
      <c r="A120" s="773">
        <v>113.0</v>
      </c>
      <c r="B120" s="768"/>
      <c r="C120" s="769"/>
      <c r="D120" s="768"/>
      <c r="E120" s="770"/>
      <c r="F120" s="714"/>
      <c r="G120" s="715"/>
      <c r="H120" s="714"/>
      <c r="I120" s="715"/>
      <c r="J120" s="714"/>
      <c r="K120" s="715"/>
      <c r="L120" s="714"/>
      <c r="M120" s="715"/>
      <c r="N120" s="714"/>
      <c r="O120" s="766"/>
      <c r="P120" s="714"/>
      <c r="Q120" s="715"/>
      <c r="R120" s="714"/>
      <c r="S120" s="715"/>
      <c r="T120" s="714"/>
      <c r="U120" s="715"/>
      <c r="V120" s="714"/>
      <c r="W120" s="715"/>
      <c r="X120" s="714"/>
      <c r="Y120" s="715"/>
      <c r="Z120" s="714"/>
      <c r="AA120" s="715"/>
      <c r="AB120" s="714"/>
      <c r="AC120" s="715"/>
      <c r="AD120" s="714"/>
      <c r="AE120" s="715"/>
      <c r="AF120" s="665"/>
      <c r="AG120" s="696">
        <f t="shared" ref="AG120:AH120" si="224">F120+H120+J120+L120+N120+P120+R120+T120+V120+X120+Z120+AB120+AD120</f>
        <v>0</v>
      </c>
      <c r="AH120" s="697">
        <f t="shared" si="224"/>
        <v>0</v>
      </c>
      <c r="AI120" s="771"/>
      <c r="AJ120" s="772"/>
      <c r="AK120" s="541"/>
      <c r="AL120" s="541"/>
      <c r="AM120" s="716" t="s">
        <v>855</v>
      </c>
    </row>
    <row r="121" ht="26.25" hidden="1" customHeight="1">
      <c r="A121" s="767">
        <v>114.0</v>
      </c>
      <c r="B121" s="768"/>
      <c r="C121" s="769"/>
      <c r="D121" s="768"/>
      <c r="E121" s="770"/>
      <c r="F121" s="714"/>
      <c r="G121" s="715"/>
      <c r="H121" s="714"/>
      <c r="I121" s="715"/>
      <c r="J121" s="714"/>
      <c r="K121" s="715"/>
      <c r="L121" s="714"/>
      <c r="M121" s="715"/>
      <c r="N121" s="714"/>
      <c r="O121" s="766"/>
      <c r="P121" s="714"/>
      <c r="Q121" s="715"/>
      <c r="R121" s="714"/>
      <c r="S121" s="715"/>
      <c r="T121" s="714"/>
      <c r="U121" s="715"/>
      <c r="V121" s="714"/>
      <c r="W121" s="715"/>
      <c r="X121" s="714"/>
      <c r="Y121" s="715"/>
      <c r="Z121" s="714"/>
      <c r="AA121" s="715"/>
      <c r="AB121" s="714"/>
      <c r="AC121" s="715"/>
      <c r="AD121" s="714"/>
      <c r="AE121" s="715"/>
      <c r="AF121" s="665"/>
      <c r="AG121" s="696">
        <f t="shared" ref="AG121:AH121" si="225">F121+H121+J121+L121+N121+P121+R121+T121+V121+X121+Z121+AB121+AD121</f>
        <v>0</v>
      </c>
      <c r="AH121" s="697">
        <f t="shared" si="225"/>
        <v>0</v>
      </c>
      <c r="AI121" s="771"/>
      <c r="AJ121" s="772"/>
      <c r="AK121" s="541"/>
      <c r="AL121" s="541"/>
      <c r="AM121" s="700" t="s">
        <v>867</v>
      </c>
    </row>
    <row r="122" ht="26.25" hidden="1" customHeight="1">
      <c r="A122" s="773">
        <v>115.0</v>
      </c>
      <c r="B122" s="774"/>
      <c r="C122" s="775"/>
      <c r="D122" s="776"/>
      <c r="E122" s="770"/>
      <c r="F122" s="714"/>
      <c r="G122" s="715"/>
      <c r="H122" s="714"/>
      <c r="I122" s="715"/>
      <c r="J122" s="714"/>
      <c r="K122" s="715"/>
      <c r="L122" s="714"/>
      <c r="M122" s="715"/>
      <c r="N122" s="714"/>
      <c r="O122" s="766"/>
      <c r="P122" s="714"/>
      <c r="Q122" s="715"/>
      <c r="R122" s="714"/>
      <c r="S122" s="715"/>
      <c r="T122" s="714"/>
      <c r="U122" s="715"/>
      <c r="V122" s="714"/>
      <c r="W122" s="715"/>
      <c r="X122" s="714"/>
      <c r="Y122" s="715"/>
      <c r="Z122" s="714"/>
      <c r="AA122" s="715"/>
      <c r="AB122" s="714"/>
      <c r="AC122" s="715"/>
      <c r="AD122" s="714"/>
      <c r="AE122" s="715"/>
      <c r="AF122" s="665"/>
      <c r="AG122" s="696">
        <f t="shared" ref="AG122:AH122" si="226">F122+H122+J122+L122+N122+P122+R122+T122+V122+X122+Z122+AB122+AD122</f>
        <v>0</v>
      </c>
      <c r="AH122" s="697">
        <f t="shared" si="226"/>
        <v>0</v>
      </c>
      <c r="AI122" s="771"/>
      <c r="AJ122" s="772"/>
      <c r="AK122" s="541"/>
      <c r="AL122" s="541"/>
    </row>
    <row r="123" ht="26.25" hidden="1" customHeight="1">
      <c r="A123" s="767">
        <v>116.0</v>
      </c>
      <c r="B123" s="774"/>
      <c r="C123" s="775"/>
      <c r="D123" s="776"/>
      <c r="E123" s="770"/>
      <c r="F123" s="714"/>
      <c r="G123" s="715"/>
      <c r="H123" s="714"/>
      <c r="I123" s="715"/>
      <c r="J123" s="714"/>
      <c r="K123" s="715"/>
      <c r="L123" s="714"/>
      <c r="M123" s="715"/>
      <c r="N123" s="714"/>
      <c r="O123" s="766"/>
      <c r="P123" s="714"/>
      <c r="Q123" s="715"/>
      <c r="R123" s="714"/>
      <c r="S123" s="715"/>
      <c r="T123" s="714"/>
      <c r="U123" s="715"/>
      <c r="V123" s="714"/>
      <c r="W123" s="715"/>
      <c r="X123" s="714"/>
      <c r="Y123" s="715"/>
      <c r="Z123" s="714"/>
      <c r="AA123" s="715"/>
      <c r="AB123" s="714"/>
      <c r="AC123" s="715"/>
      <c r="AD123" s="714"/>
      <c r="AE123" s="715"/>
      <c r="AF123" s="665"/>
      <c r="AG123" s="696">
        <f t="shared" ref="AG123:AH123" si="227">F123+H123+J123+L123+N123+P123+R123+T123+V123+X123+Z123+AB123+AD123</f>
        <v>0</v>
      </c>
      <c r="AH123" s="697">
        <f t="shared" si="227"/>
        <v>0</v>
      </c>
      <c r="AI123" s="771"/>
      <c r="AJ123" s="772"/>
      <c r="AK123" s="541"/>
      <c r="AL123" s="541"/>
    </row>
    <row r="124" ht="26.25" hidden="1" customHeight="1">
      <c r="A124" s="773">
        <v>117.0</v>
      </c>
      <c r="B124" s="774"/>
      <c r="C124" s="775"/>
      <c r="D124" s="776"/>
      <c r="E124" s="770"/>
      <c r="F124" s="714"/>
      <c r="G124" s="715"/>
      <c r="H124" s="714"/>
      <c r="I124" s="715"/>
      <c r="J124" s="714"/>
      <c r="K124" s="715"/>
      <c r="L124" s="714"/>
      <c r="M124" s="715"/>
      <c r="N124" s="714"/>
      <c r="O124" s="766"/>
      <c r="P124" s="714"/>
      <c r="Q124" s="715"/>
      <c r="R124" s="714"/>
      <c r="S124" s="715"/>
      <c r="T124" s="714"/>
      <c r="U124" s="715"/>
      <c r="V124" s="714"/>
      <c r="W124" s="715"/>
      <c r="X124" s="714"/>
      <c r="Y124" s="715"/>
      <c r="Z124" s="714"/>
      <c r="AA124" s="715"/>
      <c r="AB124" s="714"/>
      <c r="AC124" s="715"/>
      <c r="AD124" s="714"/>
      <c r="AE124" s="715"/>
      <c r="AF124" s="665"/>
      <c r="AG124" s="696">
        <f t="shared" ref="AG124:AH124" si="228">F124+H124+J124+L124+N124+P124+R124+T124+V124+X124+Z124+AB124+AD124</f>
        <v>0</v>
      </c>
      <c r="AH124" s="697">
        <f t="shared" si="228"/>
        <v>0</v>
      </c>
      <c r="AI124" s="771"/>
      <c r="AJ124" s="772"/>
      <c r="AK124" s="541"/>
      <c r="AL124" s="541"/>
    </row>
    <row r="125" ht="26.25" hidden="1" customHeight="1">
      <c r="A125" s="767">
        <v>118.0</v>
      </c>
      <c r="B125" s="774"/>
      <c r="C125" s="775"/>
      <c r="D125" s="776"/>
      <c r="E125" s="777"/>
      <c r="F125" s="714"/>
      <c r="G125" s="715"/>
      <c r="H125" s="714"/>
      <c r="I125" s="715"/>
      <c r="J125" s="714"/>
      <c r="K125" s="715"/>
      <c r="L125" s="714"/>
      <c r="M125" s="715"/>
      <c r="N125" s="714"/>
      <c r="O125" s="766"/>
      <c r="P125" s="714"/>
      <c r="Q125" s="715"/>
      <c r="R125" s="714"/>
      <c r="S125" s="715"/>
      <c r="T125" s="714"/>
      <c r="U125" s="715"/>
      <c r="V125" s="714"/>
      <c r="W125" s="715"/>
      <c r="X125" s="714"/>
      <c r="Y125" s="715"/>
      <c r="Z125" s="714"/>
      <c r="AA125" s="715"/>
      <c r="AB125" s="714"/>
      <c r="AC125" s="715"/>
      <c r="AD125" s="714"/>
      <c r="AE125" s="715"/>
      <c r="AF125" s="665"/>
      <c r="AG125" s="696">
        <f t="shared" ref="AG125:AH125" si="229">F125+H125+J125+L125+N125+P125+R125+T125+V125+X125+Z125+AB125+AD125</f>
        <v>0</v>
      </c>
      <c r="AH125" s="697">
        <f t="shared" si="229"/>
        <v>0</v>
      </c>
      <c r="AI125" s="771"/>
      <c r="AJ125" s="772"/>
      <c r="AK125" s="541"/>
      <c r="AL125" s="541"/>
    </row>
    <row r="126" ht="26.25" customHeight="1">
      <c r="A126" s="778" t="s">
        <v>940</v>
      </c>
      <c r="B126" s="779"/>
      <c r="C126" s="779"/>
      <c r="D126" s="780"/>
      <c r="E126" s="781"/>
      <c r="F126" s="782">
        <f t="shared" ref="F126:AE126" si="230">SUM(F7:F78)</f>
        <v>855</v>
      </c>
      <c r="G126" s="783">
        <f t="shared" si="230"/>
        <v>3271</v>
      </c>
      <c r="H126" s="784">
        <f t="shared" si="230"/>
        <v>0</v>
      </c>
      <c r="I126" s="784">
        <f t="shared" si="230"/>
        <v>0</v>
      </c>
      <c r="J126" s="784">
        <f t="shared" si="230"/>
        <v>22</v>
      </c>
      <c r="K126" s="784">
        <f t="shared" si="230"/>
        <v>141</v>
      </c>
      <c r="L126" s="784">
        <f t="shared" si="230"/>
        <v>16</v>
      </c>
      <c r="M126" s="784">
        <f t="shared" si="230"/>
        <v>132</v>
      </c>
      <c r="N126" s="784">
        <f t="shared" si="230"/>
        <v>5</v>
      </c>
      <c r="O126" s="784">
        <f t="shared" si="230"/>
        <v>87</v>
      </c>
      <c r="P126" s="784">
        <f t="shared" si="230"/>
        <v>12</v>
      </c>
      <c r="Q126" s="784">
        <f t="shared" si="230"/>
        <v>201</v>
      </c>
      <c r="R126" s="784">
        <f t="shared" si="230"/>
        <v>6</v>
      </c>
      <c r="S126" s="784">
        <f t="shared" si="230"/>
        <v>122</v>
      </c>
      <c r="T126" s="784">
        <f t="shared" si="230"/>
        <v>6</v>
      </c>
      <c r="U126" s="784">
        <f t="shared" si="230"/>
        <v>130</v>
      </c>
      <c r="V126" s="784">
        <f t="shared" si="230"/>
        <v>0</v>
      </c>
      <c r="W126" s="784">
        <f t="shared" si="230"/>
        <v>0</v>
      </c>
      <c r="X126" s="784">
        <f t="shared" si="230"/>
        <v>0</v>
      </c>
      <c r="Y126" s="784">
        <f t="shared" si="230"/>
        <v>0</v>
      </c>
      <c r="Z126" s="784">
        <f t="shared" si="230"/>
        <v>0</v>
      </c>
      <c r="AA126" s="784">
        <f t="shared" si="230"/>
        <v>0</v>
      </c>
      <c r="AB126" s="784">
        <f t="shared" si="230"/>
        <v>0</v>
      </c>
      <c r="AC126" s="784">
        <f t="shared" si="230"/>
        <v>0</v>
      </c>
      <c r="AD126" s="784">
        <f t="shared" si="230"/>
        <v>0</v>
      </c>
      <c r="AE126" s="784">
        <f t="shared" si="230"/>
        <v>0</v>
      </c>
      <c r="AF126" s="785"/>
      <c r="AG126" s="696">
        <f t="shared" ref="AG126:AH126" si="231">F126+H126+J126+L126+N126+P126+R126+T126+V126+X126+Z126+AB126+AD126</f>
        <v>922</v>
      </c>
      <c r="AH126" s="697">
        <f t="shared" si="231"/>
        <v>4084</v>
      </c>
      <c r="AI126" s="786">
        <f t="shared" ref="AI126:AJ126" si="232">J126+H126+L126+N126+P126+R126+T126+V126+X126+Z126+AB126+AD126</f>
        <v>67</v>
      </c>
      <c r="AJ126" s="787">
        <f t="shared" si="232"/>
        <v>813</v>
      </c>
      <c r="AK126" s="541"/>
      <c r="AL126" s="541"/>
    </row>
    <row r="127" ht="26.25" customHeight="1">
      <c r="A127" s="788"/>
      <c r="B127" s="788"/>
      <c r="C127" s="789"/>
      <c r="D127" s="788"/>
      <c r="E127" s="788"/>
      <c r="F127" s="788"/>
      <c r="G127" s="788"/>
      <c r="H127" s="788"/>
      <c r="I127" s="788"/>
      <c r="J127" s="788"/>
      <c r="K127" s="788"/>
      <c r="L127" s="788"/>
      <c r="M127" s="788"/>
      <c r="N127" s="788"/>
      <c r="O127" s="788"/>
      <c r="P127" s="790"/>
      <c r="Q127" s="790"/>
      <c r="R127" s="790"/>
      <c r="S127" s="790"/>
      <c r="T127" s="790"/>
      <c r="U127" s="790"/>
      <c r="V127" s="790"/>
      <c r="W127" s="790"/>
      <c r="X127" s="790"/>
      <c r="Y127" s="790"/>
      <c r="Z127" s="790"/>
      <c r="AA127" s="790"/>
      <c r="AB127" s="790"/>
      <c r="AC127" s="790"/>
      <c r="AD127" s="790"/>
      <c r="AE127" s="790"/>
      <c r="AF127" s="791"/>
      <c r="AG127" s="447"/>
      <c r="AH127" s="447"/>
    </row>
    <row r="128" ht="26.25" customHeight="1">
      <c r="A128" s="792"/>
      <c r="B128" s="792"/>
      <c r="C128" s="793"/>
      <c r="D128" s="792"/>
      <c r="E128" s="792"/>
      <c r="F128" s="792"/>
      <c r="G128" s="792"/>
      <c r="H128" s="792"/>
      <c r="I128" s="792"/>
      <c r="J128" s="792"/>
      <c r="K128" s="792"/>
      <c r="L128" s="792"/>
      <c r="M128" s="792"/>
      <c r="N128" s="792"/>
      <c r="O128" s="794"/>
      <c r="P128" s="795"/>
      <c r="Q128" s="795"/>
      <c r="R128" s="795"/>
      <c r="S128" s="795"/>
      <c r="T128" s="795"/>
      <c r="U128" s="795"/>
      <c r="V128" s="795"/>
      <c r="W128" s="795"/>
      <c r="X128" s="795"/>
      <c r="Y128" s="795"/>
      <c r="Z128" s="795"/>
      <c r="AA128" s="795"/>
      <c r="AB128" s="795"/>
      <c r="AC128" s="795"/>
      <c r="AD128" s="795"/>
      <c r="AE128" s="795"/>
      <c r="AF128" s="791"/>
      <c r="AG128" s="447"/>
      <c r="AH128" s="447"/>
    </row>
    <row r="129" ht="26.25" customHeight="1">
      <c r="A129" s="447"/>
      <c r="B129" s="447"/>
      <c r="C129" s="447"/>
      <c r="D129" s="447"/>
      <c r="E129" s="447"/>
      <c r="F129" s="447"/>
      <c r="G129" s="447"/>
      <c r="H129" s="447"/>
      <c r="I129" s="447"/>
      <c r="J129" s="447"/>
      <c r="K129" s="447"/>
      <c r="L129" s="447"/>
      <c r="M129" s="447"/>
      <c r="N129" s="447"/>
      <c r="O129" s="447"/>
      <c r="P129" s="447"/>
      <c r="Q129" s="447"/>
      <c r="R129" s="447"/>
      <c r="S129" s="447"/>
      <c r="T129" s="447"/>
      <c r="U129" s="447"/>
      <c r="V129" s="447"/>
      <c r="W129" s="447"/>
      <c r="X129" s="447"/>
      <c r="Y129" s="447"/>
      <c r="Z129" s="447"/>
      <c r="AA129" s="447"/>
      <c r="AB129" s="447"/>
      <c r="AC129" s="447"/>
      <c r="AD129" s="447"/>
      <c r="AE129" s="447"/>
      <c r="AF129" s="791"/>
      <c r="AG129" s="447"/>
      <c r="AH129" s="447"/>
    </row>
    <row r="130" ht="26.25" customHeight="1">
      <c r="A130" s="447"/>
      <c r="B130" s="447"/>
      <c r="C130" s="447"/>
      <c r="D130" s="447"/>
      <c r="E130" s="447"/>
      <c r="F130" s="447"/>
      <c r="G130" s="447"/>
      <c r="H130" s="447"/>
      <c r="I130" s="447"/>
      <c r="J130" s="447"/>
      <c r="K130" s="447"/>
      <c r="L130" s="447"/>
      <c r="M130" s="447"/>
      <c r="N130" s="447"/>
      <c r="O130" s="447"/>
      <c r="P130" s="447"/>
      <c r="Q130" s="447"/>
      <c r="R130" s="447"/>
      <c r="S130" s="447"/>
      <c r="T130" s="447"/>
      <c r="U130" s="447"/>
      <c r="V130" s="447"/>
      <c r="W130" s="447"/>
      <c r="X130" s="447"/>
      <c r="Y130" s="447"/>
      <c r="Z130" s="447"/>
      <c r="AA130" s="447"/>
      <c r="AB130" s="447"/>
      <c r="AC130" s="447"/>
      <c r="AD130" s="447"/>
      <c r="AE130" s="447"/>
      <c r="AF130" s="791"/>
      <c r="AG130" s="447"/>
      <c r="AH130" s="447"/>
    </row>
    <row r="131" ht="26.25" customHeight="1">
      <c r="C131" s="796"/>
      <c r="AF131" s="665"/>
    </row>
    <row r="132" ht="26.25" customHeight="1">
      <c r="C132" s="796"/>
      <c r="AF132" s="665"/>
    </row>
    <row r="133" ht="26.25" customHeight="1">
      <c r="C133" s="796"/>
      <c r="AF133" s="665"/>
    </row>
    <row r="134" ht="26.25" customHeight="1">
      <c r="C134" s="796"/>
      <c r="AF134" s="665"/>
    </row>
    <row r="135" ht="26.25" customHeight="1">
      <c r="C135" s="796"/>
      <c r="AF135" s="665"/>
    </row>
    <row r="136" ht="26.25" customHeight="1">
      <c r="C136" s="796"/>
      <c r="AF136" s="665"/>
    </row>
    <row r="137" ht="26.25" customHeight="1">
      <c r="C137" s="796"/>
      <c r="AF137" s="665"/>
    </row>
    <row r="138" ht="26.25" customHeight="1">
      <c r="C138" s="796"/>
      <c r="AF138" s="665"/>
    </row>
    <row r="139" ht="26.25" customHeight="1">
      <c r="C139" s="796"/>
      <c r="AF139" s="665"/>
    </row>
    <row r="140" ht="26.25" customHeight="1">
      <c r="C140" s="796"/>
      <c r="AF140" s="665"/>
    </row>
    <row r="141" ht="26.25" customHeight="1">
      <c r="C141" s="796"/>
      <c r="AF141" s="665"/>
    </row>
    <row r="142" ht="26.25" customHeight="1">
      <c r="C142" s="796"/>
      <c r="AF142" s="665"/>
    </row>
    <row r="143" ht="26.25" customHeight="1">
      <c r="C143" s="796"/>
      <c r="AF143" s="665"/>
    </row>
    <row r="144" ht="26.25" customHeight="1">
      <c r="C144" s="796"/>
      <c r="AF144" s="665"/>
    </row>
    <row r="145" ht="26.25" customHeight="1">
      <c r="C145" s="796"/>
      <c r="AF145" s="665"/>
    </row>
    <row r="146" ht="26.25" customHeight="1">
      <c r="C146" s="796"/>
      <c r="AF146" s="665"/>
    </row>
    <row r="147" ht="26.25" customHeight="1">
      <c r="C147" s="796"/>
      <c r="AF147" s="665"/>
    </row>
    <row r="148" ht="26.25" customHeight="1">
      <c r="C148" s="796"/>
      <c r="AF148" s="665"/>
    </row>
    <row r="149" ht="15.75" customHeight="1">
      <c r="C149" s="796"/>
      <c r="AF149" s="665"/>
    </row>
    <row r="150" ht="15.75" customHeight="1">
      <c r="C150" s="796"/>
      <c r="AF150" s="665"/>
    </row>
    <row r="151" ht="15.75" customHeight="1">
      <c r="C151" s="796"/>
      <c r="AF151" s="665"/>
    </row>
    <row r="152" ht="15.75" customHeight="1">
      <c r="C152" s="796"/>
      <c r="AF152" s="665"/>
    </row>
    <row r="153" ht="15.75" customHeight="1">
      <c r="C153" s="796"/>
      <c r="AF153" s="665"/>
    </row>
    <row r="154" ht="15.75" customHeight="1">
      <c r="C154" s="796"/>
      <c r="AF154" s="665"/>
    </row>
    <row r="155" ht="15.75" customHeight="1">
      <c r="C155" s="796"/>
      <c r="AF155" s="665"/>
    </row>
    <row r="156" ht="15.75" customHeight="1">
      <c r="C156" s="796"/>
      <c r="AF156" s="665"/>
    </row>
    <row r="157" ht="15.75" customHeight="1">
      <c r="C157" s="796"/>
      <c r="AF157" s="665"/>
    </row>
    <row r="158" ht="15.75" customHeight="1">
      <c r="C158" s="796"/>
      <c r="AF158" s="665"/>
    </row>
    <row r="159" ht="15.75" customHeight="1">
      <c r="C159" s="796"/>
      <c r="AF159" s="665"/>
    </row>
    <row r="160" ht="15.75" customHeight="1">
      <c r="C160" s="796"/>
      <c r="AF160" s="665"/>
    </row>
    <row r="161" ht="15.75" customHeight="1">
      <c r="C161" s="796"/>
      <c r="AF161" s="665"/>
    </row>
    <row r="162" ht="15.75" customHeight="1">
      <c r="C162" s="796"/>
      <c r="AF162" s="665"/>
    </row>
    <row r="163" ht="15.75" customHeight="1">
      <c r="C163" s="796"/>
      <c r="AF163" s="665"/>
    </row>
    <row r="164" ht="15.75" customHeight="1">
      <c r="C164" s="796"/>
      <c r="AF164" s="665"/>
    </row>
    <row r="165" ht="15.75" customHeight="1">
      <c r="C165" s="796"/>
      <c r="AF165" s="665"/>
    </row>
    <row r="166" ht="15.75" customHeight="1">
      <c r="C166" s="796"/>
      <c r="AF166" s="665"/>
    </row>
    <row r="167" ht="15.75" customHeight="1">
      <c r="C167" s="796"/>
      <c r="AF167" s="665"/>
    </row>
    <row r="168" ht="15.75" customHeight="1">
      <c r="C168" s="796"/>
      <c r="AF168" s="665"/>
    </row>
    <row r="169" ht="15.75" customHeight="1">
      <c r="C169" s="796"/>
      <c r="AF169" s="665"/>
    </row>
    <row r="170" ht="15.75" customHeight="1">
      <c r="C170" s="796"/>
      <c r="AF170" s="665"/>
    </row>
    <row r="171" ht="15.75" customHeight="1">
      <c r="C171" s="796"/>
      <c r="AF171" s="665"/>
    </row>
    <row r="172" ht="15.75" customHeight="1">
      <c r="C172" s="796"/>
      <c r="AF172" s="665"/>
    </row>
    <row r="173" ht="15.75" customHeight="1">
      <c r="C173" s="796"/>
      <c r="AF173" s="665"/>
    </row>
    <row r="174" ht="15.75" customHeight="1">
      <c r="C174" s="796"/>
      <c r="AF174" s="665"/>
    </row>
    <row r="175" ht="15.75" customHeight="1">
      <c r="C175" s="796"/>
      <c r="AF175" s="665"/>
    </row>
    <row r="176" ht="15.75" customHeight="1">
      <c r="C176" s="796"/>
      <c r="AF176" s="665"/>
    </row>
    <row r="177" ht="15.75" customHeight="1">
      <c r="C177" s="796"/>
      <c r="AF177" s="665"/>
    </row>
    <row r="178" ht="15.75" customHeight="1">
      <c r="C178" s="796"/>
      <c r="AF178" s="665"/>
    </row>
    <row r="179" ht="15.75" customHeight="1">
      <c r="C179" s="796"/>
      <c r="AF179" s="665"/>
    </row>
    <row r="180" ht="15.75" customHeight="1">
      <c r="C180" s="796"/>
      <c r="AF180" s="665"/>
    </row>
    <row r="181" ht="15.75" customHeight="1">
      <c r="C181" s="796"/>
      <c r="AF181" s="665"/>
    </row>
    <row r="182" ht="15.75" customHeight="1">
      <c r="C182" s="796"/>
      <c r="AF182" s="665"/>
    </row>
    <row r="183" ht="15.75" customHeight="1">
      <c r="C183" s="796"/>
      <c r="AF183" s="665"/>
    </row>
    <row r="184" ht="15.75" customHeight="1">
      <c r="C184" s="796"/>
      <c r="AF184" s="665"/>
    </row>
    <row r="185" ht="15.75" customHeight="1">
      <c r="C185" s="796"/>
      <c r="AF185" s="665"/>
    </row>
    <row r="186" ht="15.75" customHeight="1">
      <c r="C186" s="796"/>
      <c r="AF186" s="665"/>
    </row>
    <row r="187" ht="15.75" customHeight="1">
      <c r="C187" s="796"/>
      <c r="AF187" s="665"/>
    </row>
    <row r="188" ht="15.75" customHeight="1">
      <c r="C188" s="796"/>
      <c r="AF188" s="665"/>
    </row>
    <row r="189" ht="15.75" customHeight="1">
      <c r="C189" s="796"/>
      <c r="AF189" s="665"/>
    </row>
    <row r="190" ht="15.75" customHeight="1">
      <c r="C190" s="796"/>
      <c r="AF190" s="665"/>
    </row>
    <row r="191" ht="15.75" customHeight="1">
      <c r="C191" s="796"/>
      <c r="AF191" s="665"/>
    </row>
    <row r="192" ht="15.75" customHeight="1">
      <c r="C192" s="796"/>
      <c r="AF192" s="665"/>
    </row>
    <row r="193" ht="15.75" customHeight="1">
      <c r="C193" s="796"/>
      <c r="AF193" s="665"/>
    </row>
    <row r="194" ht="15.75" customHeight="1">
      <c r="C194" s="796"/>
      <c r="AF194" s="665"/>
    </row>
    <row r="195" ht="15.75" customHeight="1">
      <c r="C195" s="796"/>
      <c r="AF195" s="665"/>
    </row>
    <row r="196" ht="15.75" customHeight="1">
      <c r="C196" s="796"/>
      <c r="AF196" s="665"/>
    </row>
    <row r="197" ht="15.75" customHeight="1">
      <c r="C197" s="796"/>
      <c r="AF197" s="665"/>
    </row>
    <row r="198" ht="15.75" customHeight="1">
      <c r="C198" s="796"/>
      <c r="AF198" s="665"/>
    </row>
    <row r="199" ht="15.75" customHeight="1">
      <c r="C199" s="796"/>
      <c r="AF199" s="665"/>
    </row>
    <row r="200" ht="15.75" customHeight="1">
      <c r="C200" s="796"/>
      <c r="AF200" s="665"/>
    </row>
    <row r="201" ht="15.75" customHeight="1">
      <c r="C201" s="796"/>
      <c r="AF201" s="665"/>
    </row>
    <row r="202" ht="15.75" customHeight="1">
      <c r="C202" s="796"/>
      <c r="AF202" s="665"/>
    </row>
    <row r="203" ht="15.75" customHeight="1">
      <c r="C203" s="796"/>
      <c r="AF203" s="665"/>
    </row>
    <row r="204" ht="15.75" customHeight="1">
      <c r="C204" s="796"/>
      <c r="AF204" s="665"/>
    </row>
    <row r="205" ht="15.75" customHeight="1">
      <c r="C205" s="796"/>
      <c r="AF205" s="665"/>
    </row>
    <row r="206" ht="15.75" customHeight="1">
      <c r="C206" s="796"/>
      <c r="AF206" s="665"/>
    </row>
    <row r="207" ht="15.75" customHeight="1">
      <c r="C207" s="796"/>
      <c r="AF207" s="665"/>
    </row>
    <row r="208" ht="15.75" customHeight="1">
      <c r="C208" s="796"/>
      <c r="AF208" s="665"/>
    </row>
    <row r="209" ht="15.75" customHeight="1">
      <c r="C209" s="796"/>
      <c r="AF209" s="665"/>
    </row>
    <row r="210" ht="15.75" customHeight="1">
      <c r="C210" s="796"/>
      <c r="AF210" s="665"/>
    </row>
    <row r="211" ht="15.75" customHeight="1">
      <c r="C211" s="796"/>
      <c r="AF211" s="665"/>
    </row>
    <row r="212" ht="15.75" customHeight="1">
      <c r="C212" s="796"/>
      <c r="AF212" s="665"/>
    </row>
    <row r="213" ht="15.75" customHeight="1">
      <c r="C213" s="796"/>
      <c r="AF213" s="665"/>
    </row>
    <row r="214" ht="15.75" customHeight="1">
      <c r="C214" s="796"/>
      <c r="AF214" s="665"/>
    </row>
    <row r="215" ht="15.75" customHeight="1">
      <c r="C215" s="796"/>
      <c r="AF215" s="665"/>
    </row>
    <row r="216" ht="15.75" customHeight="1">
      <c r="C216" s="796"/>
      <c r="AF216" s="665"/>
    </row>
    <row r="217" ht="15.75" customHeight="1">
      <c r="C217" s="796"/>
      <c r="AF217" s="665"/>
    </row>
    <row r="218" ht="15.75" customHeight="1">
      <c r="C218" s="796"/>
      <c r="AF218" s="665"/>
    </row>
    <row r="219" ht="15.75" customHeight="1">
      <c r="C219" s="796"/>
      <c r="AF219" s="665"/>
    </row>
    <row r="220" ht="15.75" customHeight="1">
      <c r="C220" s="796"/>
      <c r="AF220" s="665"/>
    </row>
    <row r="221" ht="15.75" customHeight="1">
      <c r="C221" s="796"/>
      <c r="AF221" s="665"/>
    </row>
    <row r="222" ht="15.75" customHeight="1">
      <c r="C222" s="796"/>
      <c r="AF222" s="665"/>
    </row>
    <row r="223" ht="15.75" customHeight="1">
      <c r="C223" s="796"/>
      <c r="AF223" s="665"/>
    </row>
    <row r="224" ht="15.75" customHeight="1">
      <c r="C224" s="796"/>
      <c r="AF224" s="665"/>
    </row>
    <row r="225" ht="15.75" customHeight="1">
      <c r="C225" s="796"/>
      <c r="AF225" s="665"/>
    </row>
    <row r="226" ht="15.75" customHeight="1">
      <c r="C226" s="796"/>
      <c r="AF226" s="665"/>
    </row>
    <row r="227" ht="15.75" customHeight="1">
      <c r="C227" s="796"/>
      <c r="AF227" s="665"/>
    </row>
    <row r="228" ht="15.75" customHeight="1">
      <c r="C228" s="796"/>
      <c r="AF228" s="665"/>
    </row>
    <row r="229" ht="15.75" customHeight="1">
      <c r="C229" s="796"/>
      <c r="AF229" s="665"/>
    </row>
    <row r="230" ht="15.75" customHeight="1">
      <c r="C230" s="796"/>
      <c r="AF230" s="665"/>
    </row>
    <row r="231" ht="15.75" customHeight="1">
      <c r="C231" s="796"/>
      <c r="AF231" s="665"/>
    </row>
    <row r="232" ht="15.75" customHeight="1">
      <c r="C232" s="796"/>
      <c r="AF232" s="665"/>
    </row>
    <row r="233" ht="15.75" customHeight="1">
      <c r="C233" s="796"/>
      <c r="AF233" s="665"/>
    </row>
    <row r="234" ht="15.75" customHeight="1">
      <c r="C234" s="796"/>
      <c r="AF234" s="665"/>
    </row>
    <row r="235" ht="15.75" customHeight="1">
      <c r="C235" s="796"/>
      <c r="AF235" s="665"/>
    </row>
    <row r="236" ht="15.75" customHeight="1">
      <c r="C236" s="796"/>
      <c r="AF236" s="665"/>
    </row>
    <row r="237" ht="15.75" customHeight="1">
      <c r="C237" s="796"/>
      <c r="AF237" s="665"/>
    </row>
    <row r="238" ht="15.75" customHeight="1">
      <c r="C238" s="796"/>
      <c r="AF238" s="665"/>
    </row>
    <row r="239" ht="15.75" customHeight="1">
      <c r="C239" s="796"/>
      <c r="AF239" s="665"/>
    </row>
    <row r="240" ht="15.75" customHeight="1">
      <c r="C240" s="796"/>
      <c r="AF240" s="665"/>
    </row>
    <row r="241" ht="15.75" customHeight="1">
      <c r="C241" s="796"/>
      <c r="AF241" s="665"/>
    </row>
    <row r="242" ht="15.75" customHeight="1">
      <c r="C242" s="796"/>
      <c r="AF242" s="665"/>
    </row>
    <row r="243" ht="15.75" customHeight="1">
      <c r="C243" s="796"/>
      <c r="AF243" s="665"/>
    </row>
    <row r="244" ht="15.75" customHeight="1">
      <c r="C244" s="796"/>
      <c r="AF244" s="665"/>
    </row>
    <row r="245" ht="15.75" customHeight="1">
      <c r="C245" s="796"/>
      <c r="AF245" s="665"/>
    </row>
    <row r="246" ht="15.75" customHeight="1">
      <c r="C246" s="796"/>
      <c r="AF246" s="665"/>
    </row>
    <row r="247" ht="15.75" customHeight="1">
      <c r="C247" s="796"/>
      <c r="AF247" s="665"/>
    </row>
    <row r="248" ht="15.75" customHeight="1">
      <c r="C248" s="796"/>
      <c r="AF248" s="665"/>
    </row>
    <row r="249" ht="15.75" customHeight="1">
      <c r="C249" s="796"/>
      <c r="AF249" s="665"/>
    </row>
    <row r="250" ht="15.75" customHeight="1">
      <c r="C250" s="796"/>
      <c r="AF250" s="665"/>
    </row>
    <row r="251" ht="15.75" customHeight="1">
      <c r="C251" s="796"/>
      <c r="AF251" s="665"/>
    </row>
    <row r="252" ht="15.75" customHeight="1">
      <c r="C252" s="796"/>
      <c r="AF252" s="665"/>
    </row>
    <row r="253" ht="15.75" customHeight="1">
      <c r="C253" s="796"/>
      <c r="AF253" s="665"/>
    </row>
    <row r="254" ht="15.75" customHeight="1">
      <c r="C254" s="796"/>
      <c r="AF254" s="665"/>
    </row>
    <row r="255" ht="15.75" customHeight="1">
      <c r="C255" s="796"/>
      <c r="AF255" s="665"/>
    </row>
    <row r="256" ht="15.75" customHeight="1">
      <c r="C256" s="796"/>
      <c r="AF256" s="665"/>
    </row>
    <row r="257" ht="15.75" customHeight="1">
      <c r="C257" s="796"/>
      <c r="AF257" s="665"/>
    </row>
    <row r="258" ht="15.75" customHeight="1">
      <c r="C258" s="796"/>
      <c r="AF258" s="665"/>
    </row>
    <row r="259" ht="15.75" customHeight="1">
      <c r="C259" s="796"/>
      <c r="AF259" s="665"/>
    </row>
    <row r="260" ht="15.75" customHeight="1">
      <c r="C260" s="796"/>
      <c r="AF260" s="665"/>
    </row>
    <row r="261" ht="15.75" customHeight="1">
      <c r="C261" s="796"/>
      <c r="AF261" s="665"/>
    </row>
    <row r="262" ht="15.75" customHeight="1">
      <c r="C262" s="796"/>
      <c r="AF262" s="665"/>
    </row>
    <row r="263" ht="15.75" customHeight="1">
      <c r="C263" s="796"/>
      <c r="AF263" s="665"/>
    </row>
    <row r="264" ht="15.75" customHeight="1">
      <c r="C264" s="796"/>
      <c r="AF264" s="665"/>
    </row>
    <row r="265" ht="15.75" customHeight="1">
      <c r="C265" s="796"/>
      <c r="AF265" s="665"/>
    </row>
    <row r="266" ht="15.75" customHeight="1">
      <c r="C266" s="796"/>
      <c r="AF266" s="665"/>
    </row>
    <row r="267" ht="15.75" customHeight="1">
      <c r="C267" s="796"/>
      <c r="AF267" s="665"/>
    </row>
    <row r="268" ht="15.75" customHeight="1">
      <c r="C268" s="796"/>
      <c r="AF268" s="665"/>
    </row>
    <row r="269" ht="15.75" customHeight="1">
      <c r="C269" s="796"/>
      <c r="AF269" s="665"/>
    </row>
    <row r="270" ht="15.75" customHeight="1">
      <c r="C270" s="796"/>
      <c r="AF270" s="665"/>
    </row>
    <row r="271" ht="15.75" customHeight="1">
      <c r="C271" s="796"/>
      <c r="AF271" s="665"/>
    </row>
    <row r="272" ht="15.75" customHeight="1">
      <c r="C272" s="796"/>
      <c r="AF272" s="665"/>
    </row>
    <row r="273" ht="15.75" customHeight="1">
      <c r="C273" s="796"/>
      <c r="AF273" s="665"/>
    </row>
    <row r="274" ht="15.75" customHeight="1">
      <c r="C274" s="796"/>
      <c r="AF274" s="665"/>
    </row>
    <row r="275" ht="15.75" customHeight="1">
      <c r="C275" s="796"/>
      <c r="AF275" s="665"/>
    </row>
    <row r="276" ht="15.75" customHeight="1">
      <c r="C276" s="796"/>
      <c r="AF276" s="665"/>
    </row>
    <row r="277" ht="15.75" customHeight="1">
      <c r="C277" s="796"/>
      <c r="AF277" s="665"/>
    </row>
    <row r="278" ht="15.75" customHeight="1">
      <c r="C278" s="796"/>
      <c r="AF278" s="665"/>
    </row>
    <row r="279" ht="15.75" customHeight="1">
      <c r="C279" s="796"/>
      <c r="AF279" s="665"/>
    </row>
    <row r="280" ht="15.75" customHeight="1">
      <c r="C280" s="796"/>
      <c r="AF280" s="665"/>
    </row>
    <row r="281" ht="15.75" customHeight="1">
      <c r="C281" s="796"/>
      <c r="AF281" s="665"/>
    </row>
    <row r="282" ht="15.75" customHeight="1">
      <c r="C282" s="796"/>
      <c r="AF282" s="665"/>
    </row>
    <row r="283" ht="15.75" customHeight="1">
      <c r="C283" s="796"/>
      <c r="AF283" s="665"/>
    </row>
    <row r="284" ht="15.75" customHeight="1">
      <c r="C284" s="796"/>
      <c r="AF284" s="665"/>
    </row>
    <row r="285" ht="15.75" customHeight="1">
      <c r="C285" s="796"/>
      <c r="AF285" s="665"/>
    </row>
    <row r="286" ht="15.75" customHeight="1">
      <c r="C286" s="796"/>
      <c r="AF286" s="665"/>
    </row>
    <row r="287" ht="15.75" customHeight="1">
      <c r="C287" s="796"/>
      <c r="AF287" s="665"/>
    </row>
    <row r="288" ht="15.75" customHeight="1">
      <c r="C288" s="796"/>
      <c r="AF288" s="665"/>
    </row>
    <row r="289" ht="15.75" customHeight="1">
      <c r="C289" s="796"/>
      <c r="AF289" s="665"/>
    </row>
    <row r="290" ht="15.75" customHeight="1">
      <c r="C290" s="796"/>
      <c r="AF290" s="665"/>
    </row>
    <row r="291" ht="15.75" customHeight="1">
      <c r="C291" s="796"/>
      <c r="AF291" s="665"/>
    </row>
    <row r="292" ht="15.75" customHeight="1">
      <c r="C292" s="796"/>
      <c r="AF292" s="665"/>
    </row>
    <row r="293" ht="15.75" customHeight="1">
      <c r="C293" s="796"/>
      <c r="AF293" s="665"/>
    </row>
    <row r="294" ht="15.75" customHeight="1">
      <c r="C294" s="796"/>
      <c r="AF294" s="665"/>
    </row>
    <row r="295" ht="15.75" customHeight="1">
      <c r="C295" s="796"/>
      <c r="AF295" s="665"/>
    </row>
    <row r="296" ht="15.75" customHeight="1">
      <c r="C296" s="796"/>
      <c r="AF296" s="665"/>
    </row>
    <row r="297" ht="15.75" customHeight="1">
      <c r="C297" s="796"/>
      <c r="AF297" s="665"/>
    </row>
    <row r="298" ht="15.75" customHeight="1">
      <c r="C298" s="796"/>
      <c r="AF298" s="665"/>
    </row>
    <row r="299" ht="15.75" customHeight="1">
      <c r="C299" s="796"/>
      <c r="AF299" s="665"/>
    </row>
    <row r="300" ht="15.75" customHeight="1">
      <c r="C300" s="796"/>
      <c r="AF300" s="665"/>
    </row>
    <row r="301" ht="15.75" customHeight="1">
      <c r="C301" s="796"/>
      <c r="AF301" s="665"/>
    </row>
    <row r="302" ht="15.75" customHeight="1">
      <c r="C302" s="796"/>
      <c r="AF302" s="665"/>
    </row>
    <row r="303" ht="15.75" customHeight="1">
      <c r="C303" s="796"/>
      <c r="AF303" s="665"/>
    </row>
    <row r="304" ht="15.75" customHeight="1">
      <c r="C304" s="796"/>
      <c r="AF304" s="665"/>
    </row>
    <row r="305" ht="15.75" customHeight="1">
      <c r="C305" s="796"/>
      <c r="AF305" s="665"/>
    </row>
    <row r="306" ht="15.75" customHeight="1">
      <c r="C306" s="796"/>
      <c r="AF306" s="665"/>
    </row>
    <row r="307" ht="15.75" customHeight="1">
      <c r="C307" s="796"/>
      <c r="AF307" s="665"/>
    </row>
    <row r="308" ht="15.75" customHeight="1">
      <c r="C308" s="796"/>
      <c r="AF308" s="665"/>
    </row>
    <row r="309" ht="15.75" customHeight="1">
      <c r="C309" s="796"/>
      <c r="AF309" s="665"/>
    </row>
    <row r="310" ht="15.75" customHeight="1">
      <c r="C310" s="796"/>
      <c r="AF310" s="665"/>
    </row>
    <row r="311" ht="15.75" customHeight="1">
      <c r="C311" s="796"/>
      <c r="AF311" s="665"/>
    </row>
    <row r="312" ht="15.75" customHeight="1">
      <c r="C312" s="796"/>
      <c r="AF312" s="665"/>
    </row>
    <row r="313" ht="15.75" customHeight="1">
      <c r="C313" s="796"/>
      <c r="AF313" s="665"/>
    </row>
    <row r="314" ht="15.75" customHeight="1">
      <c r="C314" s="796"/>
      <c r="AF314" s="665"/>
    </row>
    <row r="315" ht="15.75" customHeight="1">
      <c r="C315" s="796"/>
      <c r="AF315" s="665"/>
    </row>
    <row r="316" ht="15.75" customHeight="1">
      <c r="C316" s="796"/>
      <c r="AF316" s="665"/>
    </row>
    <row r="317" ht="15.75" customHeight="1">
      <c r="C317" s="796"/>
      <c r="AF317" s="665"/>
    </row>
    <row r="318" ht="15.75" customHeight="1">
      <c r="C318" s="796"/>
      <c r="AF318" s="665"/>
    </row>
    <row r="319" ht="15.75" customHeight="1">
      <c r="C319" s="796"/>
      <c r="AF319" s="665"/>
    </row>
    <row r="320" ht="15.75" customHeight="1">
      <c r="C320" s="796"/>
      <c r="AF320" s="665"/>
    </row>
    <row r="321" ht="15.75" customHeight="1">
      <c r="C321" s="796"/>
      <c r="AF321" s="665"/>
    </row>
    <row r="322" ht="15.75" customHeight="1">
      <c r="C322" s="796"/>
      <c r="AF322" s="665"/>
    </row>
    <row r="323" ht="15.75" customHeight="1">
      <c r="C323" s="796"/>
      <c r="AF323" s="665"/>
    </row>
    <row r="324" ht="15.75" customHeight="1">
      <c r="C324" s="796"/>
      <c r="AF324" s="665"/>
    </row>
    <row r="325" ht="15.75" customHeight="1">
      <c r="C325" s="796"/>
      <c r="AF325" s="665"/>
    </row>
    <row r="326" ht="15.75" customHeight="1">
      <c r="C326" s="796"/>
      <c r="AF326" s="665"/>
    </row>
    <row r="327" ht="15.75" customHeight="1">
      <c r="C327" s="796"/>
      <c r="AF327" s="665"/>
    </row>
    <row r="328" ht="15.75" customHeight="1">
      <c r="C328" s="796"/>
      <c r="AF328" s="665"/>
    </row>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sheetData>
  <mergeCells count="23">
    <mergeCell ref="F5:F6"/>
    <mergeCell ref="G5:G6"/>
    <mergeCell ref="A126:D126"/>
    <mergeCell ref="H5:I5"/>
    <mergeCell ref="J5:K5"/>
    <mergeCell ref="L5:M5"/>
    <mergeCell ref="N5:O5"/>
    <mergeCell ref="P5:Q5"/>
    <mergeCell ref="R5:S5"/>
    <mergeCell ref="T5:U5"/>
    <mergeCell ref="V5:W5"/>
    <mergeCell ref="X5:Y5"/>
    <mergeCell ref="Z5:AA5"/>
    <mergeCell ref="AB5:AC5"/>
    <mergeCell ref="AD5:AE5"/>
    <mergeCell ref="A1:AH3"/>
    <mergeCell ref="A4:D4"/>
    <mergeCell ref="A5:A6"/>
    <mergeCell ref="B5:B6"/>
    <mergeCell ref="C5:C6"/>
    <mergeCell ref="D5:D6"/>
    <mergeCell ref="E5:E6"/>
    <mergeCell ref="AG5:AH5"/>
  </mergeCells>
  <conditionalFormatting sqref="G1:G1042">
    <cfRule type="notContainsBlanks" dxfId="2" priority="1">
      <formula>LEN(TRIM(G1))&gt;0</formula>
    </cfRule>
  </conditionalFormatting>
  <conditionalFormatting sqref="G1:G1042">
    <cfRule type="cellIs" dxfId="4" priority="2" operator="equal">
      <formula>0</formula>
    </cfRule>
  </conditionalFormatting>
  <dataValidations>
    <dataValidation type="list" allowBlank="1" showErrorMessage="1" sqref="H5 J5 L5 N5 P5 R5 T5 V5 X5 Z5 AB5 AD5">
      <formula1>periodestamp</formula1>
    </dataValidation>
  </dataValidations>
  <hyperlinks>
    <hyperlink r:id="rId2" ref="C7"/>
    <hyperlink r:id="rId3" ref="C8"/>
    <hyperlink r:id="rId4" ref="C9"/>
    <hyperlink r:id="rId5" ref="C10"/>
    <hyperlink r:id="rId6" ref="C11"/>
    <hyperlink r:id="rId7" ref="C12"/>
    <hyperlink r:id="rId8" ref="C13"/>
    <hyperlink r:id="rId9" ref="C14"/>
    <hyperlink r:id="rId10" ref="C15"/>
    <hyperlink r:id="rId11" ref="C16"/>
    <hyperlink r:id="rId12" ref="C17"/>
    <hyperlink r:id="rId13" ref="C18"/>
    <hyperlink r:id="rId14" ref="C19"/>
    <hyperlink r:id="rId15" ref="C20"/>
    <hyperlink r:id="rId16" ref="C21"/>
    <hyperlink r:id="rId17" ref="C22"/>
    <hyperlink r:id="rId18" ref="C23"/>
    <hyperlink r:id="rId19" ref="C24"/>
    <hyperlink r:id="rId20" ref="C25"/>
    <hyperlink r:id="rId21" ref="C26"/>
    <hyperlink r:id="rId22" ref="C27"/>
    <hyperlink r:id="rId23" ref="C28"/>
    <hyperlink r:id="rId24" ref="C29"/>
    <hyperlink r:id="rId25" ref="C30"/>
    <hyperlink r:id="rId26" ref="C31"/>
    <hyperlink r:id="rId27" ref="C32"/>
    <hyperlink r:id="rId28" ref="C33"/>
    <hyperlink r:id="rId29" ref="C34"/>
    <hyperlink r:id="rId30" ref="C35"/>
    <hyperlink r:id="rId31" ref="C36"/>
    <hyperlink r:id="rId32" ref="C37"/>
    <hyperlink r:id="rId33" ref="C38"/>
    <hyperlink r:id="rId34" ref="C39"/>
    <hyperlink r:id="rId35" ref="C40"/>
    <hyperlink r:id="rId36" ref="C41"/>
    <hyperlink r:id="rId37" ref="C42"/>
    <hyperlink r:id="rId38" ref="C43"/>
    <hyperlink r:id="rId39" ref="C44"/>
    <hyperlink r:id="rId40" ref="C45"/>
    <hyperlink r:id="rId41" ref="C46"/>
    <hyperlink r:id="rId42" ref="C47"/>
    <hyperlink r:id="rId43" ref="C48"/>
    <hyperlink r:id="rId44" ref="C49"/>
    <hyperlink r:id="rId45" ref="C50"/>
    <hyperlink r:id="rId46" ref="C51"/>
    <hyperlink r:id="rId47" ref="C52"/>
    <hyperlink r:id="rId48" ref="C53"/>
    <hyperlink r:id="rId49" ref="C54"/>
    <hyperlink r:id="rId50" ref="C56"/>
    <hyperlink r:id="rId51" ref="AL56"/>
    <hyperlink r:id="rId52" ref="C57"/>
    <hyperlink r:id="rId53" ref="C58"/>
    <hyperlink r:id="rId54" ref="C59"/>
    <hyperlink r:id="rId55" ref="C63"/>
    <hyperlink r:id="rId56" ref="C66"/>
    <hyperlink r:id="rId57" ref="C67"/>
    <hyperlink r:id="rId58" ref="C68"/>
    <hyperlink r:id="rId59" ref="C69"/>
    <hyperlink r:id="rId60" ref="C70"/>
    <hyperlink r:id="rId61" ref="C71"/>
    <hyperlink r:id="rId62" ref="C72"/>
    <hyperlink r:id="rId63" ref="C73"/>
    <hyperlink r:id="rId64" ref="C74"/>
    <hyperlink r:id="rId65" ref="C75"/>
    <hyperlink r:id="rId66" ref="C76"/>
    <hyperlink r:id="rId67" ref="C77"/>
    <hyperlink r:id="rId68" ref="C78"/>
  </hyperlinks>
  <printOptions/>
  <pageMargins bottom="0.75" footer="0.0" header="0.0" left="0.7" right="0.7" top="0.75"/>
  <pageSetup orientation="landscape"/>
  <drawing r:id="rId69"/>
  <legacyDrawing r:id="rId7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11.22"/>
    <col customWidth="1" min="2" max="2" width="15.33"/>
    <col customWidth="1" min="3" max="3" width="2.56"/>
    <col customWidth="1" min="4" max="5" width="16.33"/>
    <col customWidth="1" min="6" max="6" width="14.22"/>
    <col customWidth="1" min="7" max="7" width="15.78"/>
    <col customWidth="1" min="8" max="8" width="12.22"/>
    <col customWidth="1" min="10" max="10" width="16.56"/>
    <col customWidth="1" min="11" max="11" width="11.11"/>
    <col customWidth="1" min="13" max="13" width="11.67"/>
    <col customWidth="1" min="16" max="16" width="11.78"/>
  </cols>
  <sheetData>
    <row r="1">
      <c r="A1" s="797"/>
      <c r="B1" s="798"/>
      <c r="C1" s="799"/>
      <c r="D1" s="798"/>
      <c r="E1" s="798"/>
      <c r="F1" s="798"/>
      <c r="G1" s="800"/>
      <c r="H1" s="798"/>
      <c r="I1" s="798"/>
      <c r="J1" s="798"/>
      <c r="K1" s="798"/>
      <c r="L1" s="798"/>
      <c r="M1" s="798"/>
      <c r="N1" s="798"/>
      <c r="O1" s="798"/>
      <c r="P1" s="798"/>
      <c r="Q1" s="798"/>
      <c r="R1" s="798"/>
      <c r="S1" s="798"/>
      <c r="T1" s="798"/>
      <c r="U1" s="798"/>
      <c r="V1" s="798"/>
      <c r="W1" s="798"/>
      <c r="X1" s="798"/>
    </row>
    <row r="2">
      <c r="A2" s="801" t="str">
        <f>IFERROR(__xludf.DUMMYFUNCTION("IMPORTRANGE(""https://docs.google.com/spreadsheets/d/1k5dEibec4ivVVaBFzPOLHX-_Q0mX-3_HGTZB49knk78/edit"", ""Rekap Capaian PR!A2:D200"")"),"NO")</f>
        <v>NO</v>
      </c>
      <c r="B2" s="801" t="str">
        <f>IFERROR(__xludf.DUMMYFUNCTION("""COMPUTED_VALUE"""),"PERIODE S.D")</f>
        <v>PERIODE S.D</v>
      </c>
      <c r="C2" s="802" t="str">
        <f>IFERROR(__xludf.DUMMYFUNCTION("""COMPUTED_VALUE"""),"P")</f>
        <v>P</v>
      </c>
      <c r="D2" s="801" t="str">
        <f>IFERROR(__xludf.DUMMYFUNCTION("""COMPUTED_VALUE"""),"SASARAN STRATEGI")</f>
        <v>SASARAN STRATEGI</v>
      </c>
      <c r="E2" s="803" t="s">
        <v>941</v>
      </c>
      <c r="F2" s="804" t="s">
        <v>942</v>
      </c>
      <c r="G2" s="801" t="str">
        <f>IFERROR(__xludf.DUMMYFUNCTION("IMPORTRANGE(""https://docs.google.com/spreadsheets/d/1k5dEibec4ivVVaBFzPOLHX-_Q0mX-3_HGTZB49knk78/edit"", ""Rekap Capaian PR!G2:J200"")"),"SATUAN")</f>
        <v>SATUAN</v>
      </c>
      <c r="H2" s="805" t="str">
        <f>IFERROR(__xludf.DUMMYFUNCTION("""COMPUTED_VALUE"""),"CAPAIAN")</f>
        <v>CAPAIAN</v>
      </c>
      <c r="I2" s="805" t="str">
        <f>IFERROR(__xludf.DUMMYFUNCTION("""COMPUTED_VALUE"""),"% CAPAIAN")</f>
        <v>% CAPAIAN</v>
      </c>
      <c r="J2" s="805" t="str">
        <f>IFERROR(__xludf.DUMMYFUNCTION("""COMPUTED_VALUE"""),"SATUAN")</f>
        <v>SATUAN</v>
      </c>
      <c r="K2" s="806" t="s">
        <v>601</v>
      </c>
      <c r="L2" s="805" t="str">
        <f>IFERROR(__xludf.DUMMYFUNCTION("IMPORTRANGE(""https://docs.google.com/spreadsheets/d/1k5dEibec4ivVVaBFzPOLHX-_Q0mX-3_HGTZB49knk78/edit"", ""Rekap Capaian PR!L2:X200"")"),"% PR")</f>
        <v>% PR</v>
      </c>
      <c r="M2" s="798"/>
      <c r="N2" s="798"/>
      <c r="O2" s="798"/>
      <c r="P2" s="798"/>
      <c r="Q2" s="798"/>
      <c r="R2" s="798"/>
      <c r="S2" s="798"/>
      <c r="T2" s="798"/>
      <c r="U2" s="798"/>
      <c r="V2" s="798"/>
      <c r="W2" s="798"/>
      <c r="X2" s="798"/>
    </row>
    <row r="3">
      <c r="A3" s="807">
        <f>IFERROR(__xludf.DUMMYFUNCTION("""COMPUTED_VALUE"""),1.0)</f>
        <v>1</v>
      </c>
      <c r="B3" s="808" t="str">
        <f>IFERROR(__xludf.DUMMYFUNCTION("""COMPUTED_VALUE"""),"Januari")</f>
        <v>Januari</v>
      </c>
      <c r="C3" s="809" t="str">
        <f>IFERROR(__xludf.DUMMYFUNCTION("""COMPUTED_VALUE"""),"Januari")</f>
        <v>Januari</v>
      </c>
      <c r="D3" s="810" t="str">
        <f>IFERROR(__xludf.DUMMYFUNCTION("""COMPUTED_VALUE"""),"Terselenggaranya riset dan inovasi di bidang elektronikan dan informatika")</f>
        <v>Terselenggaranya riset dan inovasi di bidang elektronikan dan informatika</v>
      </c>
      <c r="E3" s="811" t="s">
        <v>943</v>
      </c>
      <c r="F3" s="812">
        <v>2.0</v>
      </c>
      <c r="G3" s="813" t="str">
        <f>IFERROR(__xludf.DUMMYFUNCTION("""COMPUTED_VALUE"""),"Purwarupa")</f>
        <v>Purwarupa</v>
      </c>
      <c r="H3" s="814">
        <f>IFERROR(__xludf.DUMMYFUNCTION("""COMPUTED_VALUE"""),0.0)</f>
        <v>0</v>
      </c>
      <c r="I3" s="815">
        <f>IFERROR(__xludf.DUMMYFUNCTION("""COMPUTED_VALUE"""),0.0)</f>
        <v>0</v>
      </c>
      <c r="J3" s="816" t="str">
        <f>IFERROR(__xludf.DUMMYFUNCTION("""COMPUTED_VALUE"""),"Purwarupa")</f>
        <v>Purwarupa</v>
      </c>
      <c r="K3" s="817"/>
      <c r="L3" s="818">
        <f>IFERROR(__xludf.DUMMYFUNCTION("""COMPUTED_VALUE"""),0.0)</f>
        <v>0</v>
      </c>
      <c r="M3" s="819" t="str">
        <f>IFERROR(__xludf.DUMMYFUNCTION("""COMPUTED_VALUE"""),"HARDWARE PROTOTYPE")</f>
        <v>HARDWARE PROTOTYPE</v>
      </c>
      <c r="N3" s="820"/>
      <c r="O3" s="819" t="str">
        <f>IFERROR(__xludf.DUMMYFUNCTION("""COMPUTED_VALUE"""),"SOFTWARE PROTOTYPE")</f>
        <v>SOFTWARE PROTOTYPE</v>
      </c>
      <c r="P3" s="820"/>
      <c r="Q3" s="819" t="str">
        <f>IFERROR(__xludf.DUMMYFUNCTION("""COMPUTED_VALUE"""),"DESAIN PROTOTYPE")</f>
        <v>DESAIN PROTOTYPE</v>
      </c>
      <c r="R3" s="820"/>
      <c r="S3" s="821"/>
      <c r="T3" s="821"/>
      <c r="U3" s="821"/>
      <c r="V3" s="821"/>
      <c r="W3" s="821"/>
      <c r="X3" s="821"/>
    </row>
    <row r="4">
      <c r="A4" s="822"/>
      <c r="B4" s="823"/>
      <c r="C4" s="824" t="str">
        <f>IFERROR(__xludf.DUMMYFUNCTION("""COMPUTED_VALUE"""),"Januari")</f>
        <v>Januari</v>
      </c>
      <c r="D4" s="823"/>
      <c r="E4" s="823"/>
      <c r="F4" s="825"/>
      <c r="G4" s="823"/>
      <c r="I4" s="823"/>
      <c r="J4" s="823"/>
      <c r="K4" s="823"/>
      <c r="L4" s="826"/>
      <c r="M4" s="827" t="str">
        <f>IFERROR(__xludf.DUMMYFUNCTION("""COMPUTED_VALUE"""),"Selesai")</f>
        <v>Selesai</v>
      </c>
      <c r="N4" s="827" t="str">
        <f>IFERROR(__xludf.DUMMYFUNCTION("""COMPUTED_VALUE"""),"Skala Uji Lab")</f>
        <v>Skala Uji Lab</v>
      </c>
      <c r="O4" s="827" t="str">
        <f>IFERROR(__xludf.DUMMYFUNCTION("""COMPUTED_VALUE"""),"Selesai")</f>
        <v>Selesai</v>
      </c>
      <c r="P4" s="827" t="str">
        <f>IFERROR(__xludf.DUMMYFUNCTION("""COMPUTED_VALUE"""),"Skala Uji Lab")</f>
        <v>Skala Uji Lab</v>
      </c>
      <c r="Q4" s="827" t="str">
        <f>IFERROR(__xludf.DUMMYFUNCTION("""COMPUTED_VALUE"""),"Selesai")</f>
        <v>Selesai</v>
      </c>
      <c r="R4" s="827" t="str">
        <f>IFERROR(__xludf.DUMMYFUNCTION("""COMPUTED_VALUE"""),"Skala Uji Lab")</f>
        <v>Skala Uji Lab</v>
      </c>
      <c r="S4" s="828"/>
      <c r="T4" s="828"/>
      <c r="U4" s="828"/>
      <c r="V4" s="828"/>
      <c r="W4" s="828"/>
      <c r="X4" s="828"/>
    </row>
    <row r="5">
      <c r="A5" s="822"/>
      <c r="B5" s="823"/>
      <c r="C5" s="824" t="str">
        <f>IFERROR(__xludf.DUMMYFUNCTION("""COMPUTED_VALUE"""),"Januari")</f>
        <v>Januari</v>
      </c>
      <c r="D5" s="823"/>
      <c r="E5" s="400"/>
      <c r="F5" s="829"/>
      <c r="G5" s="400"/>
      <c r="I5" s="400"/>
      <c r="J5" s="400"/>
      <c r="K5" s="400"/>
      <c r="L5" s="826"/>
      <c r="M5" s="830">
        <f>IFERROR(__xludf.DUMMYFUNCTION("""COMPUTED_VALUE"""),0.0)</f>
        <v>0</v>
      </c>
      <c r="N5" s="830">
        <f>IFERROR(__xludf.DUMMYFUNCTION("""COMPUTED_VALUE"""),0.0)</f>
        <v>0</v>
      </c>
      <c r="O5" s="830">
        <f>IFERROR(__xludf.DUMMYFUNCTION("""COMPUTED_VALUE"""),0.0)</f>
        <v>0</v>
      </c>
      <c r="P5" s="830">
        <f>IFERROR(__xludf.DUMMYFUNCTION("""COMPUTED_VALUE"""),0.0)</f>
        <v>0</v>
      </c>
      <c r="Q5" s="830">
        <f>IFERROR(__xludf.DUMMYFUNCTION("""COMPUTED_VALUE"""),0.0)</f>
        <v>0</v>
      </c>
      <c r="R5" s="830">
        <f>IFERROR(__xludf.DUMMYFUNCTION("""COMPUTED_VALUE"""),0.0)</f>
        <v>0</v>
      </c>
      <c r="S5" s="828"/>
      <c r="T5" s="828"/>
      <c r="U5" s="828"/>
      <c r="V5" s="828"/>
      <c r="W5" s="828"/>
      <c r="X5" s="828"/>
    </row>
    <row r="6">
      <c r="A6" s="822"/>
      <c r="B6" s="823"/>
      <c r="C6" s="831" t="str">
        <f>IFERROR(__xludf.DUMMYFUNCTION("""COMPUTED_VALUE"""),"Januari")</f>
        <v>Januari</v>
      </c>
      <c r="D6" s="823"/>
      <c r="E6" s="811" t="s">
        <v>944</v>
      </c>
      <c r="F6" s="812">
        <v>80.0</v>
      </c>
      <c r="G6" s="832" t="str">
        <f>IFERROR(__xludf.DUMMYFUNCTION("""COMPUTED_VALUE"""),"Publikasi Internasional")</f>
        <v>Publikasi Internasional</v>
      </c>
      <c r="H6" s="833">
        <f>IFERROR(__xludf.DUMMYFUNCTION("""COMPUTED_VALUE"""),0.0)</f>
        <v>0</v>
      </c>
      <c r="I6" s="834">
        <f>IFERROR(__xludf.DUMMYFUNCTION("""COMPUTED_VALUE"""),0.0)</f>
        <v>0</v>
      </c>
      <c r="J6" s="835" t="str">
        <f>IFERROR(__xludf.DUMMYFUNCTION("""COMPUTED_VALUE"""),"Publikasi Internasional")</f>
        <v>Publikasi Internasional</v>
      </c>
      <c r="K6" s="836"/>
      <c r="L6" s="826"/>
      <c r="M6" s="819" t="str">
        <f>IFERROR(__xludf.DUMMYFUNCTION("""COMPUTED_VALUE"""),"JURNAL")</f>
        <v>JURNAL</v>
      </c>
      <c r="N6" s="820"/>
      <c r="O6" s="837" t="str">
        <f>IFERROR(__xludf.DUMMYFUNCTION("""COMPUTED_VALUE"""),"PHROSIDING")</f>
        <v>PHROSIDING</v>
      </c>
      <c r="P6" s="820"/>
      <c r="Q6" s="837" t="str">
        <f>IFERROR(__xludf.DUMMYFUNCTION("""COMPUTED_VALUE"""),"BUKU")</f>
        <v>BUKU</v>
      </c>
      <c r="R6" s="820"/>
      <c r="S6" s="837" t="str">
        <f>IFERROR(__xludf.DUMMYFUNCTION("""COMPUTED_VALUE"""),"BAGIAN BUKU")</f>
        <v>BAGIAN BUKU</v>
      </c>
      <c r="T6" s="820"/>
      <c r="U6" s="828"/>
      <c r="V6" s="828"/>
      <c r="W6" s="828"/>
      <c r="X6" s="828"/>
    </row>
    <row r="7">
      <c r="A7" s="822"/>
      <c r="B7" s="823"/>
      <c r="C7" s="831" t="str">
        <f>IFERROR(__xludf.DUMMYFUNCTION("""COMPUTED_VALUE"""),"Januari")</f>
        <v>Januari</v>
      </c>
      <c r="D7" s="823"/>
      <c r="E7" s="823"/>
      <c r="F7" s="825"/>
      <c r="G7" s="823"/>
      <c r="H7" s="823"/>
      <c r="I7" s="823"/>
      <c r="J7" s="823"/>
      <c r="K7" s="823"/>
      <c r="L7" s="826"/>
      <c r="M7" s="827" t="str">
        <f>IFERROR(__xludf.DUMMYFUNCTION("""COMPUTED_VALUE"""),"Published")</f>
        <v>Published</v>
      </c>
      <c r="N7" s="827" t="str">
        <f>IFERROR(__xludf.DUMMYFUNCTION("""COMPUTED_VALUE"""),"Accepted")</f>
        <v>Accepted</v>
      </c>
      <c r="O7" s="838" t="str">
        <f>IFERROR(__xludf.DUMMYFUNCTION("""COMPUTED_VALUE"""),"Published")</f>
        <v>Published</v>
      </c>
      <c r="P7" s="838" t="str">
        <f>IFERROR(__xludf.DUMMYFUNCTION("""COMPUTED_VALUE"""),"Accepted")</f>
        <v>Accepted</v>
      </c>
      <c r="Q7" s="838" t="str">
        <f>IFERROR(__xludf.DUMMYFUNCTION("""COMPUTED_VALUE"""),"Published")</f>
        <v>Published</v>
      </c>
      <c r="R7" s="838" t="str">
        <f>IFERROR(__xludf.DUMMYFUNCTION("""COMPUTED_VALUE"""),"Accepted")</f>
        <v>Accepted</v>
      </c>
      <c r="S7" s="838" t="str">
        <f>IFERROR(__xludf.DUMMYFUNCTION("""COMPUTED_VALUE"""),"Published")</f>
        <v>Published</v>
      </c>
      <c r="T7" s="838" t="str">
        <f>IFERROR(__xludf.DUMMYFUNCTION("""COMPUTED_VALUE"""),"Accepted")</f>
        <v>Accepted</v>
      </c>
      <c r="U7" s="839"/>
      <c r="V7" s="839"/>
      <c r="W7" s="839"/>
      <c r="X7" s="839"/>
    </row>
    <row r="8">
      <c r="A8" s="822"/>
      <c r="B8" s="823"/>
      <c r="C8" s="831" t="str">
        <f>IFERROR(__xludf.DUMMYFUNCTION("""COMPUTED_VALUE"""),"Januari")</f>
        <v>Januari</v>
      </c>
      <c r="D8" s="823"/>
      <c r="E8" s="400"/>
      <c r="F8" s="829"/>
      <c r="G8" s="400"/>
      <c r="H8" s="400"/>
      <c r="I8" s="400"/>
      <c r="J8" s="400"/>
      <c r="K8" s="400"/>
      <c r="L8" s="826"/>
      <c r="M8" s="840">
        <f>IFERROR(__xludf.DUMMYFUNCTION("""COMPUTED_VALUE"""),0.0)</f>
        <v>0</v>
      </c>
      <c r="N8" s="841">
        <f>IFERROR(__xludf.DUMMYFUNCTION("""COMPUTED_VALUE"""),0.0)</f>
        <v>0</v>
      </c>
      <c r="O8" s="841">
        <f>IFERROR(__xludf.DUMMYFUNCTION("""COMPUTED_VALUE"""),0.0)</f>
        <v>0</v>
      </c>
      <c r="P8" s="841">
        <f>IFERROR(__xludf.DUMMYFUNCTION("""COMPUTED_VALUE"""),0.0)</f>
        <v>0</v>
      </c>
      <c r="Q8" s="841">
        <f>IFERROR(__xludf.DUMMYFUNCTION("""COMPUTED_VALUE"""),0.0)</f>
        <v>0</v>
      </c>
      <c r="R8" s="841">
        <f>IFERROR(__xludf.DUMMYFUNCTION("""COMPUTED_VALUE"""),0.0)</f>
        <v>0</v>
      </c>
      <c r="S8" s="841">
        <f>IFERROR(__xludf.DUMMYFUNCTION("""COMPUTED_VALUE"""),0.0)</f>
        <v>0</v>
      </c>
      <c r="T8" s="841">
        <f>IFERROR(__xludf.DUMMYFUNCTION("""COMPUTED_VALUE"""),0.0)</f>
        <v>0</v>
      </c>
      <c r="U8" s="842"/>
      <c r="V8" s="842"/>
      <c r="W8" s="842"/>
      <c r="X8" s="842"/>
    </row>
    <row r="9">
      <c r="A9" s="822"/>
      <c r="B9" s="823"/>
      <c r="C9" s="831" t="str">
        <f>IFERROR(__xludf.DUMMYFUNCTION("""COMPUTED_VALUE"""),"Januari")</f>
        <v>Januari</v>
      </c>
      <c r="D9" s="823"/>
      <c r="E9" s="811" t="s">
        <v>945</v>
      </c>
      <c r="F9" s="812">
        <v>24.0</v>
      </c>
      <c r="G9" s="832" t="str">
        <f>IFERROR(__xludf.DUMMYFUNCTION("""COMPUTED_VALUE"""),"Kekayaan Intelektual")</f>
        <v>Kekayaan Intelektual</v>
      </c>
      <c r="H9" s="833">
        <f>IFERROR(__xludf.DUMMYFUNCTION("""COMPUTED_VALUE"""),0.0)</f>
        <v>0</v>
      </c>
      <c r="I9" s="834">
        <f>IFERROR(__xludf.DUMMYFUNCTION("""COMPUTED_VALUE"""),0.0)</f>
        <v>0</v>
      </c>
      <c r="J9" s="835" t="str">
        <f>IFERROR(__xludf.DUMMYFUNCTION("""COMPUTED_VALUE"""),"Kekayaan Intelektual")</f>
        <v>Kekayaan Intelektual</v>
      </c>
      <c r="K9" s="836"/>
      <c r="L9" s="826"/>
      <c r="M9" s="843" t="str">
        <f>IFERROR(__xludf.DUMMYFUNCTION("""COMPUTED_VALUE"""),"PATEN")</f>
        <v>PATEN</v>
      </c>
      <c r="N9" s="829"/>
      <c r="O9" s="843" t="str">
        <f>IFERROR(__xludf.DUMMYFUNCTION("""COMPUTED_VALUE"""),"HAK CIPTA")</f>
        <v>HAK CIPTA</v>
      </c>
      <c r="P9" s="829"/>
      <c r="Q9" s="843" t="str">
        <f>IFERROR(__xludf.DUMMYFUNCTION("""COMPUTED_VALUE"""),"DESAIN INDUSTRI")</f>
        <v>DESAIN INDUSTRI</v>
      </c>
      <c r="R9" s="829"/>
      <c r="S9" s="844"/>
      <c r="U9" s="844"/>
      <c r="V9" s="844"/>
      <c r="W9" s="844"/>
      <c r="X9" s="844"/>
    </row>
    <row r="10">
      <c r="A10" s="822"/>
      <c r="B10" s="823"/>
      <c r="C10" s="831" t="str">
        <f>IFERROR(__xludf.DUMMYFUNCTION("""COMPUTED_VALUE"""),"Januari")</f>
        <v>Januari</v>
      </c>
      <c r="D10" s="823"/>
      <c r="E10" s="823"/>
      <c r="F10" s="825"/>
      <c r="G10" s="823"/>
      <c r="H10" s="823"/>
      <c r="I10" s="823"/>
      <c r="J10" s="823"/>
      <c r="K10" s="823"/>
      <c r="L10" s="826"/>
      <c r="M10" s="845" t="str">
        <f>IFERROR(__xludf.DUMMYFUNCTION("""COMPUTED_VALUE"""),"Terdaftar DJKI")</f>
        <v>Terdaftar DJKI</v>
      </c>
      <c r="N10" s="845" t="str">
        <f>IFERROR(__xludf.DUMMYFUNCTION("""COMPUTED_VALUE"""),"Tersertifikasi")</f>
        <v>Tersertifikasi</v>
      </c>
      <c r="O10" s="845" t="str">
        <f>IFERROR(__xludf.DUMMYFUNCTION("""COMPUTED_VALUE"""),"Terdaftar DJKI")</f>
        <v>Terdaftar DJKI</v>
      </c>
      <c r="P10" s="845" t="str">
        <f>IFERROR(__xludf.DUMMYFUNCTION("""COMPUTED_VALUE"""),"Tersertifikasi")</f>
        <v>Tersertifikasi</v>
      </c>
      <c r="Q10" s="845" t="str">
        <f>IFERROR(__xludf.DUMMYFUNCTION("""COMPUTED_VALUE"""),"Terdaftar DJKI")</f>
        <v>Terdaftar DJKI</v>
      </c>
      <c r="R10" s="845" t="str">
        <f>IFERROR(__xludf.DUMMYFUNCTION("""COMPUTED_VALUE"""),"Tersertifikasi")</f>
        <v>Tersertifikasi</v>
      </c>
      <c r="S10" s="842"/>
      <c r="T10" s="842"/>
      <c r="U10" s="842"/>
      <c r="V10" s="842"/>
      <c r="W10" s="842"/>
      <c r="X10" s="842"/>
    </row>
    <row r="11">
      <c r="A11" s="822"/>
      <c r="B11" s="823"/>
      <c r="C11" s="831" t="str">
        <f>IFERROR(__xludf.DUMMYFUNCTION("""COMPUTED_VALUE"""),"Januari")</f>
        <v>Januari</v>
      </c>
      <c r="D11" s="823"/>
      <c r="E11" s="400"/>
      <c r="F11" s="829"/>
      <c r="G11" s="400"/>
      <c r="H11" s="400"/>
      <c r="I11" s="400"/>
      <c r="J11" s="400"/>
      <c r="K11" s="400"/>
      <c r="L11" s="826"/>
      <c r="M11" s="830">
        <f>IFERROR(__xludf.DUMMYFUNCTION("""COMPUTED_VALUE"""),0.0)</f>
        <v>0</v>
      </c>
      <c r="N11" s="830">
        <f>IFERROR(__xludf.DUMMYFUNCTION("""COMPUTED_VALUE"""),0.0)</f>
        <v>0</v>
      </c>
      <c r="O11" s="830">
        <f>IFERROR(__xludf.DUMMYFUNCTION("""COMPUTED_VALUE"""),0.0)</f>
        <v>0</v>
      </c>
      <c r="P11" s="830">
        <f>IFERROR(__xludf.DUMMYFUNCTION("""COMPUTED_VALUE"""),0.0)</f>
        <v>0</v>
      </c>
      <c r="Q11" s="830">
        <f>IFERROR(__xludf.DUMMYFUNCTION("""COMPUTED_VALUE"""),0.0)</f>
        <v>0</v>
      </c>
      <c r="R11" s="830">
        <f>IFERROR(__xludf.DUMMYFUNCTION("""COMPUTED_VALUE"""),0.0)</f>
        <v>0</v>
      </c>
      <c r="S11" s="846"/>
      <c r="T11" s="842"/>
      <c r="U11" s="842"/>
      <c r="V11" s="842"/>
      <c r="W11" s="842"/>
      <c r="X11" s="842"/>
    </row>
    <row r="12">
      <c r="A12" s="822"/>
      <c r="B12" s="823"/>
      <c r="C12" s="831" t="str">
        <f>IFERROR(__xludf.DUMMYFUNCTION("""COMPUTED_VALUE"""),"Januari")</f>
        <v>Januari</v>
      </c>
      <c r="D12" s="823"/>
      <c r="E12" s="811" t="s">
        <v>946</v>
      </c>
      <c r="F12" s="847">
        <v>2.2E9</v>
      </c>
      <c r="G12" s="832" t="str">
        <f>IFERROR(__xludf.DUMMYFUNCTION("""COMPUTED_VALUE"""),"Rupiah")</f>
        <v>Rupiah</v>
      </c>
      <c r="H12" s="848">
        <f>IFERROR(__xludf.DUMMYFUNCTION("""COMPUTED_VALUE"""),0.0)</f>
        <v>0</v>
      </c>
      <c r="I12" s="834">
        <f>IFERROR(__xludf.DUMMYFUNCTION("""COMPUTED_VALUE"""),0.0)</f>
        <v>0</v>
      </c>
      <c r="J12" s="835" t="str">
        <f>IFERROR(__xludf.DUMMYFUNCTION("""COMPUTED_VALUE"""),"Rupiah")</f>
        <v>Rupiah</v>
      </c>
      <c r="K12" s="836"/>
      <c r="L12" s="826"/>
      <c r="M12" s="849" t="str">
        <f>IFERROR(__xludf.DUMMYFUNCTION("""COMPUTED_VALUE"""),"PNBP")</f>
        <v>PNBP</v>
      </c>
      <c r="N12" s="849" t="str">
        <f>IFERROR(__xludf.DUMMYFUNCTION("""COMPUTED_VALUE"""),"HIBAH")</f>
        <v>HIBAH</v>
      </c>
      <c r="O12" s="849" t="str">
        <f>IFERROR(__xludf.DUMMYFUNCTION("""COMPUTED_VALUE"""),"MITRA/UNV")</f>
        <v>MITRA/UNV</v>
      </c>
      <c r="P12" s="849" t="str">
        <f>IFERROR(__xludf.DUMMYFUNCTION("""COMPUTED_VALUE"""),"POSTDOC")</f>
        <v>POSTDOC</v>
      </c>
      <c r="Q12" s="849" t="str">
        <f>IFERROR(__xludf.DUMMYFUNCTION("""COMPUTED_VALUE"""),"VISITING RSRCH")</f>
        <v>VISITING RSRCH</v>
      </c>
      <c r="R12" s="849" t="str">
        <f>IFERROR(__xludf.DUMMYFUNCTION("""COMPUTED_VALUE"""),"RIMM")</f>
        <v>RIMM</v>
      </c>
      <c r="S12" s="849" t="str">
        <f>IFERROR(__xludf.DUMMYFUNCTION("""COMPUTED_VALUE"""),"MANDIRI")</f>
        <v>MANDIRI</v>
      </c>
      <c r="T12" s="850" t="str">
        <f>IFERROR(__xludf.DUMMYFUNCTION("""COMPUTED_VALUE"""),"LISENSI")</f>
        <v>LISENSI</v>
      </c>
      <c r="U12" s="851" t="str">
        <f>IFERROR(__xludf.DUMMYFUNCTION("""COMPUTED_VALUE"""),"DALAM NEGERI")</f>
        <v>DALAM NEGERI</v>
      </c>
      <c r="V12" s="851" t="str">
        <f>IFERROR(__xludf.DUMMYFUNCTION("""COMPUTED_VALUE"""),"LUAR NEGERI")</f>
        <v>LUAR NEGERI</v>
      </c>
      <c r="W12" s="852" t="str">
        <f>IFERROR(__xludf.DUMMYFUNCTION("""COMPUTED_VALUE"""),"IN CASH")</f>
        <v>IN CASH</v>
      </c>
      <c r="X12" s="852" t="str">
        <f>IFERROR(__xludf.DUMMYFUNCTION("""COMPUTED_VALUE"""),"IN KIND")</f>
        <v>IN KIND</v>
      </c>
    </row>
    <row r="13">
      <c r="A13" s="822"/>
      <c r="B13" s="823"/>
      <c r="C13" s="831" t="str">
        <f>IFERROR(__xludf.DUMMYFUNCTION("""COMPUTED_VALUE"""),"Januari")</f>
        <v>Januari</v>
      </c>
      <c r="D13" s="823"/>
      <c r="E13" s="400"/>
      <c r="F13" s="829"/>
      <c r="G13" s="400"/>
      <c r="H13" s="400"/>
      <c r="I13" s="400"/>
      <c r="J13" s="400"/>
      <c r="K13" s="400"/>
      <c r="L13" s="826"/>
      <c r="M13" s="853">
        <f>IFERROR(__xludf.DUMMYFUNCTION("""COMPUTED_VALUE"""),0.0)</f>
        <v>0</v>
      </c>
      <c r="N13" s="853">
        <f>IFERROR(__xludf.DUMMYFUNCTION("""COMPUTED_VALUE"""),0.0)</f>
        <v>0</v>
      </c>
      <c r="O13" s="853">
        <f>IFERROR(__xludf.DUMMYFUNCTION("""COMPUTED_VALUE"""),0.0)</f>
        <v>0</v>
      </c>
      <c r="P13" s="853">
        <f>IFERROR(__xludf.DUMMYFUNCTION("""COMPUTED_VALUE"""),0.0)</f>
        <v>0</v>
      </c>
      <c r="Q13" s="853">
        <f>IFERROR(__xludf.DUMMYFUNCTION("""COMPUTED_VALUE"""),0.0)</f>
        <v>0</v>
      </c>
      <c r="R13" s="853">
        <f>IFERROR(__xludf.DUMMYFUNCTION("""COMPUTED_VALUE"""),0.0)</f>
        <v>0</v>
      </c>
      <c r="S13" s="853">
        <f>IFERROR(__xludf.DUMMYFUNCTION("""COMPUTED_VALUE"""),0.0)</f>
        <v>0</v>
      </c>
      <c r="T13" s="853">
        <f>IFERROR(__xludf.DUMMYFUNCTION("""COMPUTED_VALUE"""),0.0)</f>
        <v>0</v>
      </c>
      <c r="U13" s="853">
        <f>IFERROR(__xludf.DUMMYFUNCTION("""COMPUTED_VALUE"""),0.0)</f>
        <v>0</v>
      </c>
      <c r="V13" s="853">
        <f>IFERROR(__xludf.DUMMYFUNCTION("""COMPUTED_VALUE"""),0.0)</f>
        <v>0</v>
      </c>
      <c r="W13" s="853">
        <f>IFERROR(__xludf.DUMMYFUNCTION("""COMPUTED_VALUE"""),0.0)</f>
        <v>0</v>
      </c>
      <c r="X13" s="853">
        <f>IFERROR(__xludf.DUMMYFUNCTION("""COMPUTED_VALUE"""),0.0)</f>
        <v>0</v>
      </c>
    </row>
    <row r="14">
      <c r="A14" s="822"/>
      <c r="B14" s="823"/>
      <c r="C14" s="831" t="str">
        <f>IFERROR(__xludf.DUMMYFUNCTION("""COMPUTED_VALUE"""),"Januari")</f>
        <v>Januari</v>
      </c>
      <c r="D14" s="823"/>
      <c r="E14" s="811" t="s">
        <v>947</v>
      </c>
      <c r="F14" s="812">
        <v>17.0</v>
      </c>
      <c r="G14" s="832" t="str">
        <f>IFERROR(__xludf.DUMMYFUNCTION("""COMPUTED_VALUE"""),"Kerjasama")</f>
        <v>Kerjasama</v>
      </c>
      <c r="H14" s="833">
        <f>IFERROR(__xludf.DUMMYFUNCTION("""COMPUTED_VALUE"""),0.0)</f>
        <v>0</v>
      </c>
      <c r="I14" s="834">
        <f>IFERROR(__xludf.DUMMYFUNCTION("""COMPUTED_VALUE"""),0.0)</f>
        <v>0</v>
      </c>
      <c r="J14" s="835" t="str">
        <f>IFERROR(__xludf.DUMMYFUNCTION("""COMPUTED_VALUE"""),"Kerjasama")</f>
        <v>Kerjasama</v>
      </c>
      <c r="K14" s="836"/>
      <c r="L14" s="826"/>
      <c r="M14" s="849" t="str">
        <f>IFERROR(__xludf.DUMMYFUNCTION("""COMPUTED_VALUE"""),"PNBP")</f>
        <v>PNBP</v>
      </c>
      <c r="N14" s="849" t="str">
        <f>IFERROR(__xludf.DUMMYFUNCTION("""COMPUTED_VALUE"""),"HIBAH")</f>
        <v>HIBAH</v>
      </c>
      <c r="O14" s="849" t="str">
        <f>IFERROR(__xludf.DUMMYFUNCTION("""COMPUTED_VALUE"""),"MITRA/UNV")</f>
        <v>MITRA/UNV</v>
      </c>
      <c r="P14" s="849" t="str">
        <f>IFERROR(__xludf.DUMMYFUNCTION("""COMPUTED_VALUE"""),"POSTDOC")</f>
        <v>POSTDOC</v>
      </c>
      <c r="Q14" s="849" t="str">
        <f>IFERROR(__xludf.DUMMYFUNCTION("""COMPUTED_VALUE"""),"VISITING RSRCH")</f>
        <v>VISITING RSRCH</v>
      </c>
      <c r="R14" s="849" t="str">
        <f>IFERROR(__xludf.DUMMYFUNCTION("""COMPUTED_VALUE"""),"RIMM")</f>
        <v>RIMM</v>
      </c>
      <c r="S14" s="849" t="str">
        <f>IFERROR(__xludf.DUMMYFUNCTION("""COMPUTED_VALUE"""),"MANDIRI")</f>
        <v>MANDIRI</v>
      </c>
      <c r="T14" s="849" t="str">
        <f>IFERROR(__xludf.DUMMYFUNCTION("""COMPUTED_VALUE"""),"LISENSI")</f>
        <v>LISENSI</v>
      </c>
      <c r="U14" s="851" t="str">
        <f>IFERROR(__xludf.DUMMYFUNCTION("""COMPUTED_VALUE"""),"DALAM NEGERI")</f>
        <v>DALAM NEGERI</v>
      </c>
      <c r="V14" s="851" t="str">
        <f>IFERROR(__xludf.DUMMYFUNCTION("""COMPUTED_VALUE"""),"LUAR NEGERI")</f>
        <v>LUAR NEGERI</v>
      </c>
      <c r="W14" s="844"/>
      <c r="X14" s="844"/>
    </row>
    <row r="15">
      <c r="A15" s="822"/>
      <c r="B15" s="823"/>
      <c r="C15" s="831" t="str">
        <f>IFERROR(__xludf.DUMMYFUNCTION("""COMPUTED_VALUE"""),"Januari")</f>
        <v>Januari</v>
      </c>
      <c r="D15" s="823"/>
      <c r="E15" s="400"/>
      <c r="F15" s="829"/>
      <c r="G15" s="400"/>
      <c r="H15" s="400"/>
      <c r="I15" s="400"/>
      <c r="J15" s="400"/>
      <c r="K15" s="400"/>
      <c r="L15" s="826"/>
      <c r="M15" s="830">
        <f>IFERROR(__xludf.DUMMYFUNCTION("""COMPUTED_VALUE"""),0.0)</f>
        <v>0</v>
      </c>
      <c r="N15" s="830">
        <f>IFERROR(__xludf.DUMMYFUNCTION("""COMPUTED_VALUE"""),0.0)</f>
        <v>0</v>
      </c>
      <c r="O15" s="830">
        <f>IFERROR(__xludf.DUMMYFUNCTION("""COMPUTED_VALUE"""),0.0)</f>
        <v>0</v>
      </c>
      <c r="P15" s="854">
        <f>IFERROR(__xludf.DUMMYFUNCTION("""COMPUTED_VALUE"""),0.0)</f>
        <v>0</v>
      </c>
      <c r="Q15" s="854">
        <f>IFERROR(__xludf.DUMMYFUNCTION("""COMPUTED_VALUE"""),0.0)</f>
        <v>0</v>
      </c>
      <c r="R15" s="854">
        <f>IFERROR(__xludf.DUMMYFUNCTION("""COMPUTED_VALUE"""),0.0)</f>
        <v>0</v>
      </c>
      <c r="S15" s="830">
        <f>IFERROR(__xludf.DUMMYFUNCTION("""COMPUTED_VALUE"""),0.0)</f>
        <v>0</v>
      </c>
      <c r="T15" s="830">
        <f>IFERROR(__xludf.DUMMYFUNCTION("""COMPUTED_VALUE"""),0.0)</f>
        <v>0</v>
      </c>
      <c r="U15" s="830">
        <f>IFERROR(__xludf.DUMMYFUNCTION("""COMPUTED_VALUE"""),0.0)</f>
        <v>0</v>
      </c>
      <c r="V15" s="830">
        <f>IFERROR(__xludf.DUMMYFUNCTION("""COMPUTED_VALUE"""),0.0)</f>
        <v>0</v>
      </c>
      <c r="W15" s="798"/>
      <c r="X15" s="798"/>
    </row>
    <row r="16">
      <c r="A16" s="822"/>
      <c r="B16" s="823"/>
      <c r="C16" s="831" t="str">
        <f>IFERROR(__xludf.DUMMYFUNCTION("""COMPUTED_VALUE"""),"Januari")</f>
        <v>Januari</v>
      </c>
      <c r="D16" s="823"/>
      <c r="E16" s="811" t="s">
        <v>948</v>
      </c>
      <c r="F16" s="812">
        <v>26.0</v>
      </c>
      <c r="G16" s="832" t="str">
        <f>IFERROR(__xludf.DUMMYFUNCTION("""COMPUTED_VALUE"""),"Pegawai")</f>
        <v>Pegawai</v>
      </c>
      <c r="H16" s="855">
        <f>IFERROR(__xludf.DUMMYFUNCTION("""COMPUTED_VALUE"""),0.0)</f>
        <v>0</v>
      </c>
      <c r="I16" s="834">
        <f>IFERROR(__xludf.DUMMYFUNCTION("""COMPUTED_VALUE"""),0.0)</f>
        <v>0</v>
      </c>
      <c r="J16" s="835" t="str">
        <f>IFERROR(__xludf.DUMMYFUNCTION("""COMPUTED_VALUE"""),"Pegawai")</f>
        <v>Pegawai</v>
      </c>
      <c r="K16" s="836"/>
      <c r="L16" s="826"/>
      <c r="M16" s="849" t="str">
        <f>IFERROR(__xludf.DUMMYFUNCTION("""COMPUTED_VALUE"""),"S2")</f>
        <v>S2</v>
      </c>
      <c r="N16" s="856" t="str">
        <f>IFERROR(__xludf.DUMMYFUNCTION("""COMPUTED_VALUE"""),"S3")</f>
        <v>S3</v>
      </c>
      <c r="O16" s="857" t="str">
        <f>IFERROR(__xludf.DUMMYFUNCTION("""COMPUTED_VALUE"""),"IJIN BELAJAR")</f>
        <v>IJIN BELAJAR</v>
      </c>
      <c r="P16" s="858" t="str">
        <f>IFERROR(__xludf.DUMMYFUNCTION("""COMPUTED_VALUE"""),"TUGAS BELAJAR")</f>
        <v>TUGAS BELAJAR</v>
      </c>
      <c r="Q16" s="798"/>
      <c r="R16" s="798"/>
      <c r="S16" s="798"/>
      <c r="T16" s="798"/>
      <c r="U16" s="798"/>
      <c r="V16" s="798"/>
      <c r="W16" s="798"/>
      <c r="X16" s="798"/>
    </row>
    <row r="17">
      <c r="A17" s="822"/>
      <c r="B17" s="823"/>
      <c r="C17" s="831" t="str">
        <f>IFERROR(__xludf.DUMMYFUNCTION("""COMPUTED_VALUE"""),"Januari")</f>
        <v>Januari</v>
      </c>
      <c r="D17" s="823"/>
      <c r="E17" s="400"/>
      <c r="F17" s="829"/>
      <c r="G17" s="400"/>
      <c r="H17" s="400"/>
      <c r="I17" s="400"/>
      <c r="J17" s="400"/>
      <c r="K17" s="400"/>
      <c r="L17" s="826"/>
      <c r="M17" s="830">
        <f>IFERROR(__xludf.DUMMYFUNCTION("""COMPUTED_VALUE"""),0.0)</f>
        <v>0</v>
      </c>
      <c r="N17" s="830">
        <f>IFERROR(__xludf.DUMMYFUNCTION("""COMPUTED_VALUE"""),0.0)</f>
        <v>0</v>
      </c>
      <c r="O17" s="830">
        <f>IFERROR(__xludf.DUMMYFUNCTION("""COMPUTED_VALUE"""),0.0)</f>
        <v>0</v>
      </c>
      <c r="P17" s="830">
        <f>IFERROR(__xludf.DUMMYFUNCTION("""COMPUTED_VALUE"""),0.0)</f>
        <v>0</v>
      </c>
      <c r="Q17" s="798"/>
      <c r="R17" s="798"/>
      <c r="S17" s="798"/>
      <c r="T17" s="798"/>
      <c r="U17" s="798"/>
      <c r="V17" s="798"/>
      <c r="W17" s="798"/>
      <c r="X17" s="798"/>
    </row>
    <row r="18">
      <c r="A18" s="822"/>
      <c r="B18" s="823"/>
      <c r="C18" s="831" t="str">
        <f>IFERROR(__xludf.DUMMYFUNCTION("""COMPUTED_VALUE"""),"Januari")</f>
        <v>Januari</v>
      </c>
      <c r="D18" s="823"/>
      <c r="E18" s="811" t="s">
        <v>949</v>
      </c>
      <c r="F18" s="812">
        <v>5.0</v>
      </c>
      <c r="G18" s="832" t="str">
        <f>IFERROR(__xludf.DUMMYFUNCTION("""COMPUTED_VALUE"""),"Peserta")</f>
        <v>Peserta</v>
      </c>
      <c r="H18" s="855">
        <f>IFERROR(__xludf.DUMMYFUNCTION("""COMPUTED_VALUE"""),0.0)</f>
        <v>0</v>
      </c>
      <c r="I18" s="834">
        <f>IFERROR(__xludf.DUMMYFUNCTION("""COMPUTED_VALUE"""),0.0)</f>
        <v>0</v>
      </c>
      <c r="J18" s="835" t="str">
        <f>IFERROR(__xludf.DUMMYFUNCTION("""COMPUTED_VALUE"""),"Peserta")</f>
        <v>Peserta</v>
      </c>
      <c r="K18" s="836"/>
      <c r="L18" s="826"/>
      <c r="M18" s="859" t="str">
        <f>IFERROR(__xludf.DUMMYFUNCTION("""COMPUTED_VALUE"""),"POSTDOCTORAL")</f>
        <v>POSTDOCTORAL</v>
      </c>
      <c r="N18" s="820"/>
      <c r="O18" s="859" t="str">
        <f>IFERROR(__xludf.DUMMYFUNCTION("""COMPUTED_VALUE"""),"VISITING RESEARCH")</f>
        <v>VISITING RESEARCH</v>
      </c>
      <c r="P18" s="820"/>
      <c r="Q18" s="860" t="str">
        <f>IFERROR(__xludf.DUMMYFUNCTION("""COMPUTED_VALUE"""),"PUBLIKASI")</f>
        <v>PUBLIKASI</v>
      </c>
      <c r="R18" s="820"/>
      <c r="S18" s="798"/>
      <c r="T18" s="798"/>
      <c r="U18" s="798"/>
      <c r="V18" s="798"/>
      <c r="W18" s="798"/>
      <c r="X18" s="798"/>
    </row>
    <row r="19">
      <c r="A19" s="822"/>
      <c r="B19" s="823"/>
      <c r="C19" s="831" t="str">
        <f>IFERROR(__xludf.DUMMYFUNCTION("""COMPUTED_VALUE"""),"Januari")</f>
        <v>Januari</v>
      </c>
      <c r="D19" s="823"/>
      <c r="E19" s="823"/>
      <c r="F19" s="825"/>
      <c r="G19" s="823"/>
      <c r="H19" s="823"/>
      <c r="I19" s="823"/>
      <c r="J19" s="823"/>
      <c r="K19" s="823"/>
      <c r="L19" s="826"/>
      <c r="M19" s="827" t="str">
        <f>IFERROR(__xludf.DUMMYFUNCTION("""COMPUTED_VALUE"""),"Dalam Negeri")</f>
        <v>Dalam Negeri</v>
      </c>
      <c r="N19" s="827" t="str">
        <f>IFERROR(__xludf.DUMMYFUNCTION("""COMPUTED_VALUE"""),"Luar Negeri")</f>
        <v>Luar Negeri</v>
      </c>
      <c r="O19" s="827" t="str">
        <f>IFERROR(__xludf.DUMMYFUNCTION("""COMPUTED_VALUE"""),"Dalam Negeri")</f>
        <v>Dalam Negeri</v>
      </c>
      <c r="P19" s="827" t="str">
        <f>IFERROR(__xludf.DUMMYFUNCTION("""COMPUTED_VALUE"""),"Luar Negeri")</f>
        <v>Luar Negeri</v>
      </c>
      <c r="Q19" s="861" t="str">
        <f>IFERROR(__xludf.DUMMYFUNCTION("""COMPUTED_VALUE"""),"Dalam Negeri")</f>
        <v>Dalam Negeri</v>
      </c>
      <c r="R19" s="861" t="str">
        <f>IFERROR(__xludf.DUMMYFUNCTION("""COMPUTED_VALUE"""),"Luar Negeri")</f>
        <v>Luar Negeri</v>
      </c>
      <c r="S19" s="798"/>
      <c r="T19" s="798"/>
      <c r="U19" s="798"/>
      <c r="V19" s="798"/>
      <c r="W19" s="798"/>
      <c r="X19" s="798"/>
    </row>
    <row r="20">
      <c r="A20" s="822"/>
      <c r="B20" s="823"/>
      <c r="C20" s="831" t="str">
        <f>IFERROR(__xludf.DUMMYFUNCTION("""COMPUTED_VALUE"""),"Januari")</f>
        <v>Januari</v>
      </c>
      <c r="D20" s="862"/>
      <c r="E20" s="862"/>
      <c r="F20" s="863"/>
      <c r="G20" s="862"/>
      <c r="H20" s="862"/>
      <c r="I20" s="862"/>
      <c r="J20" s="862"/>
      <c r="K20" s="862"/>
      <c r="L20" s="864"/>
      <c r="M20" s="865">
        <f>IFERROR(__xludf.DUMMYFUNCTION("""COMPUTED_VALUE"""),0.0)</f>
        <v>0</v>
      </c>
      <c r="N20" s="865">
        <f>IFERROR(__xludf.DUMMYFUNCTION("""COMPUTED_VALUE"""),0.0)</f>
        <v>0</v>
      </c>
      <c r="O20" s="865">
        <f>IFERROR(__xludf.DUMMYFUNCTION("""COMPUTED_VALUE"""),0.0)</f>
        <v>0</v>
      </c>
      <c r="P20" s="865">
        <f>IFERROR(__xludf.DUMMYFUNCTION("""COMPUTED_VALUE"""),0.0)</f>
        <v>0</v>
      </c>
      <c r="Q20" s="865">
        <f>IFERROR(__xludf.DUMMYFUNCTION("""COMPUTED_VALUE"""),0.0)</f>
        <v>0</v>
      </c>
      <c r="R20" s="865">
        <f>IFERROR(__xludf.DUMMYFUNCTION("""COMPUTED_VALUE"""),0.0)</f>
        <v>0</v>
      </c>
      <c r="S20" s="798"/>
      <c r="T20" s="798"/>
      <c r="U20" s="798"/>
      <c r="V20" s="798"/>
      <c r="W20" s="798"/>
      <c r="X20" s="798"/>
    </row>
    <row r="21">
      <c r="A21" s="822"/>
      <c r="B21" s="823"/>
      <c r="C21" s="831" t="str">
        <f>IFERROR(__xludf.DUMMYFUNCTION("""COMPUTED_VALUE"""),"Januari")</f>
        <v>Januari</v>
      </c>
      <c r="D21" s="866" t="str">
        <f>IFERROR(__xludf.DUMMYFUNCTION("""COMPUTED_VALUE"""),"Capaian Lainnya")</f>
        <v>Capaian Lainnya</v>
      </c>
      <c r="E21" s="867" t="s">
        <v>950</v>
      </c>
      <c r="F21" s="868"/>
      <c r="G21" s="869" t="str">
        <f>IFERROR(__xludf.DUMMYFUNCTION("""COMPUTED_VALUE"""),"Sitasi")</f>
        <v>Sitasi</v>
      </c>
      <c r="H21" s="870">
        <f>IFERROR(__xludf.DUMMYFUNCTION("""COMPUTED_VALUE"""),0.0)</f>
        <v>0</v>
      </c>
      <c r="I21" s="871"/>
      <c r="J21" s="872" t="str">
        <f>IFERROR(__xludf.DUMMYFUNCTION("""COMPUTED_VALUE"""),"Sitasi")</f>
        <v>Sitasi</v>
      </c>
      <c r="K21" s="869"/>
      <c r="L21" s="873"/>
      <c r="M21" s="849" t="str">
        <f>IFERROR(__xludf.DUMMYFUNCTION("""COMPUTED_VALUE"""),"DOK PUBLISHED")</f>
        <v>DOK PUBLISHED</v>
      </c>
      <c r="N21" s="849" t="str">
        <f>IFERROR(__xludf.DUMMYFUNCTION("""COMPUTED_VALUE"""),"SITASI")</f>
        <v>SITASI</v>
      </c>
      <c r="O21" s="798"/>
      <c r="P21" s="798"/>
      <c r="Q21" s="798"/>
      <c r="R21" s="798"/>
      <c r="S21" s="798"/>
      <c r="T21" s="798"/>
      <c r="U21" s="798"/>
      <c r="V21" s="798"/>
      <c r="W21" s="798"/>
      <c r="X21" s="798"/>
    </row>
    <row r="22">
      <c r="A22" s="822"/>
      <c r="B22" s="823"/>
      <c r="C22" s="831" t="str">
        <f>IFERROR(__xludf.DUMMYFUNCTION("""COMPUTED_VALUE"""),"Januari")</f>
        <v>Januari</v>
      </c>
      <c r="D22" s="823"/>
      <c r="E22" s="874"/>
      <c r="F22" s="875"/>
      <c r="G22" s="874"/>
      <c r="H22" s="874"/>
      <c r="I22" s="874"/>
      <c r="J22" s="874"/>
      <c r="K22" s="874"/>
      <c r="L22" s="826"/>
      <c r="M22" s="830"/>
      <c r="N22" s="830"/>
      <c r="O22" s="798"/>
      <c r="P22" s="798"/>
      <c r="Q22" s="798"/>
      <c r="R22" s="798"/>
      <c r="S22" s="798"/>
      <c r="T22" s="798"/>
      <c r="U22" s="798"/>
      <c r="V22" s="798"/>
      <c r="W22" s="798"/>
      <c r="X22" s="798"/>
    </row>
    <row r="23">
      <c r="A23" s="822"/>
      <c r="B23" s="823"/>
      <c r="C23" s="831" t="str">
        <f>IFERROR(__xludf.DUMMYFUNCTION("""COMPUTED_VALUE"""),"Januari")</f>
        <v>Januari</v>
      </c>
      <c r="D23" s="823"/>
      <c r="E23" s="867" t="s">
        <v>951</v>
      </c>
      <c r="F23" s="868"/>
      <c r="G23" s="876" t="str">
        <f>IFERROR(__xludf.DUMMYFUNCTION("""COMPUTED_VALUE"""),"Publikasi Nasional")</f>
        <v>Publikasi Nasional</v>
      </c>
      <c r="H23" s="877">
        <f>IFERROR(__xludf.DUMMYFUNCTION("""COMPUTED_VALUE"""),0.0)</f>
        <v>0</v>
      </c>
      <c r="I23" s="878"/>
      <c r="J23" s="879" t="str">
        <f>IFERROR(__xludf.DUMMYFUNCTION("""COMPUTED_VALUE"""),"Publikasi Nasional")</f>
        <v>Publikasi Nasional</v>
      </c>
      <c r="K23" s="876"/>
      <c r="L23" s="826"/>
      <c r="M23" s="798"/>
      <c r="N23" s="798"/>
      <c r="O23" s="798"/>
      <c r="P23" s="798"/>
      <c r="Q23" s="798"/>
      <c r="R23" s="798"/>
      <c r="S23" s="798"/>
      <c r="T23" s="798"/>
      <c r="U23" s="798"/>
      <c r="V23" s="798"/>
      <c r="W23" s="798"/>
      <c r="X23" s="798"/>
    </row>
    <row r="24">
      <c r="A24" s="673"/>
      <c r="B24" s="674"/>
      <c r="C24" s="880" t="str">
        <f>IFERROR(__xludf.DUMMYFUNCTION("""COMPUTED_VALUE"""),"Januari")</f>
        <v>Januari</v>
      </c>
      <c r="D24" s="674"/>
      <c r="E24" s="674"/>
      <c r="F24" s="881"/>
      <c r="G24" s="674"/>
      <c r="H24" s="674"/>
      <c r="I24" s="674"/>
      <c r="J24" s="674"/>
      <c r="K24" s="674"/>
      <c r="L24" s="882"/>
      <c r="M24" s="798"/>
      <c r="N24" s="798"/>
      <c r="O24" s="798"/>
      <c r="P24" s="798"/>
      <c r="Q24" s="798"/>
      <c r="R24" s="798"/>
      <c r="S24" s="798"/>
      <c r="T24" s="798"/>
      <c r="U24" s="798"/>
      <c r="V24" s="798"/>
      <c r="W24" s="798"/>
      <c r="X24" s="798"/>
    </row>
    <row r="25">
      <c r="A25" s="807">
        <f>IFERROR(__xludf.DUMMYFUNCTION("""COMPUTED_VALUE"""),2.0)</f>
        <v>2</v>
      </c>
      <c r="B25" s="883" t="str">
        <f>IFERROR(__xludf.DUMMYFUNCTION("""COMPUTED_VALUE"""),"Februari")</f>
        <v>Februari</v>
      </c>
      <c r="C25" s="884" t="str">
        <f>IFERROR(__xludf.DUMMYFUNCTION("""COMPUTED_VALUE"""),"Februari")</f>
        <v>Februari</v>
      </c>
      <c r="D25" s="885" t="str">
        <f>IFERROR(__xludf.DUMMYFUNCTION("""COMPUTED_VALUE"""),"Terselenggaranya riset dan inovasi di bidang elektronikan dan informatika")</f>
        <v>Terselenggaranya riset dan inovasi di bidang elektronikan dan informatika</v>
      </c>
      <c r="E25" s="811" t="s">
        <v>943</v>
      </c>
      <c r="F25" s="812">
        <v>2.0</v>
      </c>
      <c r="G25" s="886" t="str">
        <f>IFERROR(__xludf.DUMMYFUNCTION("""COMPUTED_VALUE"""),"Purwarupa")</f>
        <v>Purwarupa</v>
      </c>
      <c r="H25" s="887">
        <f>IFERROR(__xludf.DUMMYFUNCTION("""COMPUTED_VALUE"""),0.0)</f>
        <v>0</v>
      </c>
      <c r="I25" s="888">
        <f>IFERROR(__xludf.DUMMYFUNCTION("""COMPUTED_VALUE"""),0.0)</f>
        <v>0</v>
      </c>
      <c r="J25" s="889" t="str">
        <f>IFERROR(__xludf.DUMMYFUNCTION("""COMPUTED_VALUE"""),"Purwarupa")</f>
        <v>Purwarupa</v>
      </c>
      <c r="K25" s="890"/>
      <c r="L25" s="891">
        <f>IFERROR(__xludf.DUMMYFUNCTION("""COMPUTED_VALUE"""),0.008928571428571428)</f>
        <v>0.008928571429</v>
      </c>
      <c r="M25" s="819" t="str">
        <f>IFERROR(__xludf.DUMMYFUNCTION("""COMPUTED_VALUE"""),"HARDWARE PROTOTYPE")</f>
        <v>HARDWARE PROTOTYPE</v>
      </c>
      <c r="N25" s="820"/>
      <c r="O25" s="819" t="str">
        <f>IFERROR(__xludf.DUMMYFUNCTION("""COMPUTED_VALUE"""),"SOFTWARE PROTOTYPE")</f>
        <v>SOFTWARE PROTOTYPE</v>
      </c>
      <c r="P25" s="820"/>
      <c r="Q25" s="819" t="str">
        <f>IFERROR(__xludf.DUMMYFUNCTION("""COMPUTED_VALUE"""),"DESAIN PROTOTYPE")</f>
        <v>DESAIN PROTOTYPE</v>
      </c>
      <c r="R25" s="820"/>
      <c r="S25" s="892"/>
      <c r="T25" s="892"/>
      <c r="U25" s="892"/>
      <c r="V25" s="892"/>
      <c r="W25" s="892"/>
      <c r="X25" s="892"/>
    </row>
    <row r="26">
      <c r="A26" s="822"/>
      <c r="B26" s="825"/>
      <c r="C26" s="893" t="str">
        <f>IFERROR(__xludf.DUMMYFUNCTION("""COMPUTED_VALUE"""),"Februari")</f>
        <v>Februari</v>
      </c>
      <c r="D26" s="825"/>
      <c r="E26" s="823"/>
      <c r="F26" s="825"/>
      <c r="G26" s="825"/>
      <c r="H26" s="825"/>
      <c r="I26" s="825"/>
      <c r="J26" s="825"/>
      <c r="K26" s="825"/>
      <c r="L26" s="894"/>
      <c r="M26" s="827" t="str">
        <f>IFERROR(__xludf.DUMMYFUNCTION("""COMPUTED_VALUE"""),"Selesai")</f>
        <v>Selesai</v>
      </c>
      <c r="N26" s="827" t="str">
        <f>IFERROR(__xludf.DUMMYFUNCTION("""COMPUTED_VALUE"""),"Skala Uji Lab")</f>
        <v>Skala Uji Lab</v>
      </c>
      <c r="O26" s="827" t="str">
        <f>IFERROR(__xludf.DUMMYFUNCTION("""COMPUTED_VALUE"""),"Selesai")</f>
        <v>Selesai</v>
      </c>
      <c r="P26" s="827" t="str">
        <f>IFERROR(__xludf.DUMMYFUNCTION("""COMPUTED_VALUE"""),"Skala Uji Lab")</f>
        <v>Skala Uji Lab</v>
      </c>
      <c r="Q26" s="827" t="str">
        <f>IFERROR(__xludf.DUMMYFUNCTION("""COMPUTED_VALUE"""),"Selesai")</f>
        <v>Selesai</v>
      </c>
      <c r="R26" s="827" t="str">
        <f>IFERROR(__xludf.DUMMYFUNCTION("""COMPUTED_VALUE"""),"Skala Uji Lab")</f>
        <v>Skala Uji Lab</v>
      </c>
      <c r="S26" s="828"/>
      <c r="T26" s="828"/>
      <c r="U26" s="895"/>
      <c r="V26" s="895"/>
      <c r="W26" s="895"/>
      <c r="X26" s="895"/>
    </row>
    <row r="27">
      <c r="A27" s="822"/>
      <c r="B27" s="825"/>
      <c r="C27" s="893" t="str">
        <f>IFERROR(__xludf.DUMMYFUNCTION("""COMPUTED_VALUE"""),"Februari")</f>
        <v>Februari</v>
      </c>
      <c r="D27" s="825"/>
      <c r="E27" s="400"/>
      <c r="F27" s="829"/>
      <c r="G27" s="829"/>
      <c r="H27" s="829"/>
      <c r="I27" s="829"/>
      <c r="J27" s="829"/>
      <c r="K27" s="829"/>
      <c r="L27" s="894"/>
      <c r="M27" s="830">
        <f>IFERROR(__xludf.DUMMYFUNCTION("""COMPUTED_VALUE"""),0.0)</f>
        <v>0</v>
      </c>
      <c r="N27" s="830">
        <f>IFERROR(__xludf.DUMMYFUNCTION("""COMPUTED_VALUE"""),0.0)</f>
        <v>0</v>
      </c>
      <c r="O27" s="830">
        <f>IFERROR(__xludf.DUMMYFUNCTION("""COMPUTED_VALUE"""),0.0)</f>
        <v>0</v>
      </c>
      <c r="P27" s="830">
        <f>IFERROR(__xludf.DUMMYFUNCTION("""COMPUTED_VALUE"""),0.0)</f>
        <v>0</v>
      </c>
      <c r="Q27" s="830">
        <f>IFERROR(__xludf.DUMMYFUNCTION("""COMPUTED_VALUE"""),0.0)</f>
        <v>0</v>
      </c>
      <c r="R27" s="830">
        <f>IFERROR(__xludf.DUMMYFUNCTION("""COMPUTED_VALUE"""),0.0)</f>
        <v>0</v>
      </c>
      <c r="S27" s="896"/>
      <c r="T27" s="896"/>
      <c r="U27" s="895"/>
      <c r="V27" s="895"/>
      <c r="W27" s="895"/>
      <c r="X27" s="895"/>
    </row>
    <row r="28">
      <c r="A28" s="822"/>
      <c r="B28" s="825"/>
      <c r="C28" s="893" t="str">
        <f>IFERROR(__xludf.DUMMYFUNCTION("""COMPUTED_VALUE"""),"Februari")</f>
        <v>Februari</v>
      </c>
      <c r="D28" s="825"/>
      <c r="E28" s="811" t="s">
        <v>944</v>
      </c>
      <c r="F28" s="812">
        <v>80.0</v>
      </c>
      <c r="G28" s="897" t="str">
        <f>IFERROR(__xludf.DUMMYFUNCTION("""COMPUTED_VALUE"""),"Publikasi Internasional")</f>
        <v>Publikasi Internasional</v>
      </c>
      <c r="H28" s="898">
        <f>IFERROR(__xludf.DUMMYFUNCTION("""COMPUTED_VALUE"""),5.0)</f>
        <v>5</v>
      </c>
      <c r="I28" s="899">
        <f>IFERROR(__xludf.DUMMYFUNCTION("""COMPUTED_VALUE"""),0.0625)</f>
        <v>0.0625</v>
      </c>
      <c r="J28" s="900" t="str">
        <f>IFERROR(__xludf.DUMMYFUNCTION("""COMPUTED_VALUE"""),"Publikasi Internasional")</f>
        <v>Publikasi Internasional</v>
      </c>
      <c r="K28" s="901"/>
      <c r="L28" s="894"/>
      <c r="M28" s="902" t="str">
        <f>IFERROR(__xludf.DUMMYFUNCTION("""COMPUTED_VALUE"""),"JURNAL")</f>
        <v>JURNAL</v>
      </c>
      <c r="N28" s="829"/>
      <c r="O28" s="902" t="str">
        <f>IFERROR(__xludf.DUMMYFUNCTION("""COMPUTED_VALUE"""),"PHROSIDING")</f>
        <v>PHROSIDING</v>
      </c>
      <c r="P28" s="829"/>
      <c r="Q28" s="902" t="str">
        <f>IFERROR(__xludf.DUMMYFUNCTION("""COMPUTED_VALUE"""),"BUKU")</f>
        <v>BUKU</v>
      </c>
      <c r="R28" s="829"/>
      <c r="S28" s="902" t="str">
        <f>IFERROR(__xludf.DUMMYFUNCTION("""COMPUTED_VALUE"""),"BAGIAN BUKU")</f>
        <v>BAGIAN BUKU</v>
      </c>
      <c r="T28" s="829"/>
      <c r="U28" s="895"/>
      <c r="V28" s="895"/>
      <c r="W28" s="895"/>
      <c r="X28" s="895"/>
    </row>
    <row r="29">
      <c r="A29" s="822"/>
      <c r="B29" s="825"/>
      <c r="C29" s="893" t="str">
        <f>IFERROR(__xludf.DUMMYFUNCTION("""COMPUTED_VALUE"""),"Februari")</f>
        <v>Februari</v>
      </c>
      <c r="D29" s="825"/>
      <c r="E29" s="823"/>
      <c r="F29" s="825"/>
      <c r="G29" s="825"/>
      <c r="H29" s="825"/>
      <c r="I29" s="825"/>
      <c r="J29" s="825"/>
      <c r="K29" s="825"/>
      <c r="L29" s="894"/>
      <c r="M29" s="827" t="str">
        <f>IFERROR(__xludf.DUMMYFUNCTION("""COMPUTED_VALUE"""),"Published")</f>
        <v>Published</v>
      </c>
      <c r="N29" s="827" t="str">
        <f>IFERROR(__xludf.DUMMYFUNCTION("""COMPUTED_VALUE"""),"Accepted")</f>
        <v>Accepted</v>
      </c>
      <c r="O29" s="827" t="str">
        <f>IFERROR(__xludf.DUMMYFUNCTION("""COMPUTED_VALUE"""),"Published")</f>
        <v>Published</v>
      </c>
      <c r="P29" s="827" t="str">
        <f>IFERROR(__xludf.DUMMYFUNCTION("""COMPUTED_VALUE"""),"Accepted")</f>
        <v>Accepted</v>
      </c>
      <c r="Q29" s="827" t="str">
        <f>IFERROR(__xludf.DUMMYFUNCTION("""COMPUTED_VALUE"""),"Published")</f>
        <v>Published</v>
      </c>
      <c r="R29" s="827" t="str">
        <f>IFERROR(__xludf.DUMMYFUNCTION("""COMPUTED_VALUE"""),"Accepted")</f>
        <v>Accepted</v>
      </c>
      <c r="S29" s="827" t="str">
        <f>IFERROR(__xludf.DUMMYFUNCTION("""COMPUTED_VALUE"""),"Published")</f>
        <v>Published</v>
      </c>
      <c r="T29" s="827" t="str">
        <f>IFERROR(__xludf.DUMMYFUNCTION("""COMPUTED_VALUE"""),"Accepted")</f>
        <v>Accepted</v>
      </c>
      <c r="U29" s="895"/>
      <c r="V29" s="895"/>
      <c r="W29" s="895"/>
      <c r="X29" s="895"/>
    </row>
    <row r="30">
      <c r="A30" s="822"/>
      <c r="B30" s="825"/>
      <c r="C30" s="893" t="str">
        <f>IFERROR(__xludf.DUMMYFUNCTION("""COMPUTED_VALUE"""),"Februari")</f>
        <v>Februari</v>
      </c>
      <c r="D30" s="825"/>
      <c r="E30" s="400"/>
      <c r="F30" s="829"/>
      <c r="G30" s="829"/>
      <c r="H30" s="829"/>
      <c r="I30" s="829"/>
      <c r="J30" s="829"/>
      <c r="K30" s="829"/>
      <c r="L30" s="894"/>
      <c r="M30" s="830">
        <f>IFERROR(__xludf.DUMMYFUNCTION("""COMPUTED_VALUE"""),5.0)</f>
        <v>5</v>
      </c>
      <c r="N30" s="830">
        <f>IFERROR(__xludf.DUMMYFUNCTION("""COMPUTED_VALUE"""),0.0)</f>
        <v>0</v>
      </c>
      <c r="O30" s="830">
        <f>IFERROR(__xludf.DUMMYFUNCTION("""COMPUTED_VALUE"""),0.0)</f>
        <v>0</v>
      </c>
      <c r="P30" s="830">
        <f>IFERROR(__xludf.DUMMYFUNCTION("""COMPUTED_VALUE"""),0.0)</f>
        <v>0</v>
      </c>
      <c r="Q30" s="830">
        <f>IFERROR(__xludf.DUMMYFUNCTION("""COMPUTED_VALUE"""),0.0)</f>
        <v>0</v>
      </c>
      <c r="R30" s="830">
        <f>IFERROR(__xludf.DUMMYFUNCTION("""COMPUTED_VALUE"""),0.0)</f>
        <v>0</v>
      </c>
      <c r="S30" s="830">
        <f>IFERROR(__xludf.DUMMYFUNCTION("""COMPUTED_VALUE"""),0.0)</f>
        <v>0</v>
      </c>
      <c r="T30" s="830">
        <f>IFERROR(__xludf.DUMMYFUNCTION("""COMPUTED_VALUE"""),0.0)</f>
        <v>0</v>
      </c>
      <c r="U30" s="895"/>
      <c r="V30" s="895"/>
      <c r="W30" s="895"/>
      <c r="X30" s="895"/>
    </row>
    <row r="31">
      <c r="A31" s="822"/>
      <c r="B31" s="825"/>
      <c r="C31" s="893" t="str">
        <f>IFERROR(__xludf.DUMMYFUNCTION("""COMPUTED_VALUE"""),"Februari")</f>
        <v>Februari</v>
      </c>
      <c r="D31" s="825"/>
      <c r="E31" s="811" t="s">
        <v>945</v>
      </c>
      <c r="F31" s="812">
        <v>24.0</v>
      </c>
      <c r="G31" s="897" t="str">
        <f>IFERROR(__xludf.DUMMYFUNCTION("""COMPUTED_VALUE"""),"Kekayaan Intelektual")</f>
        <v>Kekayaan Intelektual</v>
      </c>
      <c r="H31" s="898">
        <f>IFERROR(__xludf.DUMMYFUNCTION("""COMPUTED_VALUE"""),0.0)</f>
        <v>0</v>
      </c>
      <c r="I31" s="899">
        <f>IFERROR(__xludf.DUMMYFUNCTION("""COMPUTED_VALUE"""),0.0)</f>
        <v>0</v>
      </c>
      <c r="J31" s="900" t="str">
        <f>IFERROR(__xludf.DUMMYFUNCTION("""COMPUTED_VALUE"""),"Kekayaan Intelektual")</f>
        <v>Kekayaan Intelektual</v>
      </c>
      <c r="K31" s="901"/>
      <c r="L31" s="894"/>
      <c r="M31" s="843" t="str">
        <f>IFERROR(__xludf.DUMMYFUNCTION("""COMPUTED_VALUE"""),"PATEN")</f>
        <v>PATEN</v>
      </c>
      <c r="N31" s="829"/>
      <c r="O31" s="843" t="str">
        <f>IFERROR(__xludf.DUMMYFUNCTION("""COMPUTED_VALUE"""),"HAK CIPTA")</f>
        <v>HAK CIPTA</v>
      </c>
      <c r="P31" s="829"/>
      <c r="Q31" s="843" t="str">
        <f>IFERROR(__xludf.DUMMYFUNCTION("""COMPUTED_VALUE"""),"DESAIN INDUSTRI")</f>
        <v>DESAIN INDUSTRI</v>
      </c>
      <c r="R31" s="829"/>
      <c r="S31" s="903"/>
      <c r="U31" s="895"/>
      <c r="V31" s="895"/>
      <c r="W31" s="895"/>
      <c r="X31" s="895"/>
    </row>
    <row r="32">
      <c r="A32" s="822"/>
      <c r="B32" s="825"/>
      <c r="C32" s="893" t="str">
        <f>IFERROR(__xludf.DUMMYFUNCTION("""COMPUTED_VALUE"""),"Februari")</f>
        <v>Februari</v>
      </c>
      <c r="D32" s="825"/>
      <c r="E32" s="823"/>
      <c r="F32" s="825"/>
      <c r="G32" s="825"/>
      <c r="H32" s="825"/>
      <c r="I32" s="825"/>
      <c r="J32" s="825"/>
      <c r="K32" s="825"/>
      <c r="L32" s="894"/>
      <c r="M32" s="845" t="str">
        <f>IFERROR(__xludf.DUMMYFUNCTION("""COMPUTED_VALUE"""),"Terdaftar DJKI")</f>
        <v>Terdaftar DJKI</v>
      </c>
      <c r="N32" s="845" t="str">
        <f>IFERROR(__xludf.DUMMYFUNCTION("""COMPUTED_VALUE"""),"Tersertifikasi")</f>
        <v>Tersertifikasi</v>
      </c>
      <c r="O32" s="845" t="str">
        <f>IFERROR(__xludf.DUMMYFUNCTION("""COMPUTED_VALUE"""),"Terdaftar DJKI")</f>
        <v>Terdaftar DJKI</v>
      </c>
      <c r="P32" s="845" t="str">
        <f>IFERROR(__xludf.DUMMYFUNCTION("""COMPUTED_VALUE"""),"Tersertifikasi")</f>
        <v>Tersertifikasi</v>
      </c>
      <c r="Q32" s="845" t="str">
        <f>IFERROR(__xludf.DUMMYFUNCTION("""COMPUTED_VALUE"""),"Terdaftar DJKI")</f>
        <v>Terdaftar DJKI</v>
      </c>
      <c r="R32" s="845" t="str">
        <f>IFERROR(__xludf.DUMMYFUNCTION("""COMPUTED_VALUE"""),"Tersertifikasi")</f>
        <v>Tersertifikasi</v>
      </c>
      <c r="S32" s="895"/>
      <c r="T32" s="895"/>
      <c r="U32" s="895"/>
      <c r="V32" s="895"/>
      <c r="W32" s="895"/>
      <c r="X32" s="895"/>
    </row>
    <row r="33">
      <c r="A33" s="822"/>
      <c r="B33" s="825"/>
      <c r="C33" s="893" t="str">
        <f>IFERROR(__xludf.DUMMYFUNCTION("""COMPUTED_VALUE"""),"Februari")</f>
        <v>Februari</v>
      </c>
      <c r="D33" s="825"/>
      <c r="E33" s="400"/>
      <c r="F33" s="829"/>
      <c r="G33" s="829"/>
      <c r="H33" s="829"/>
      <c r="I33" s="829"/>
      <c r="J33" s="829"/>
      <c r="K33" s="829"/>
      <c r="L33" s="894"/>
      <c r="M33" s="830">
        <f>IFERROR(__xludf.DUMMYFUNCTION("""COMPUTED_VALUE"""),0.0)</f>
        <v>0</v>
      </c>
      <c r="N33" s="830">
        <f>IFERROR(__xludf.DUMMYFUNCTION("""COMPUTED_VALUE"""),0.0)</f>
        <v>0</v>
      </c>
      <c r="O33" s="830">
        <f>IFERROR(__xludf.DUMMYFUNCTION("""COMPUTED_VALUE"""),0.0)</f>
        <v>0</v>
      </c>
      <c r="P33" s="830">
        <f>IFERROR(__xludf.DUMMYFUNCTION("""COMPUTED_VALUE"""),0.0)</f>
        <v>0</v>
      </c>
      <c r="Q33" s="830">
        <f>IFERROR(__xludf.DUMMYFUNCTION("""COMPUTED_VALUE"""),0.0)</f>
        <v>0</v>
      </c>
      <c r="R33" s="830">
        <f>IFERROR(__xludf.DUMMYFUNCTION("""COMPUTED_VALUE"""),0.0)</f>
        <v>0</v>
      </c>
      <c r="S33" s="904"/>
      <c r="T33" s="904"/>
      <c r="U33" s="904"/>
      <c r="V33" s="904"/>
      <c r="W33" s="904"/>
      <c r="X33" s="895"/>
    </row>
    <row r="34">
      <c r="A34" s="822"/>
      <c r="B34" s="825"/>
      <c r="C34" s="893" t="str">
        <f>IFERROR(__xludf.DUMMYFUNCTION("""COMPUTED_VALUE"""),"Februari")</f>
        <v>Februari</v>
      </c>
      <c r="D34" s="825"/>
      <c r="E34" s="811" t="s">
        <v>946</v>
      </c>
      <c r="F34" s="847">
        <v>2.2E9</v>
      </c>
      <c r="G34" s="897" t="str">
        <f>IFERROR(__xludf.DUMMYFUNCTION("""COMPUTED_VALUE"""),"Rupiah")</f>
        <v>Rupiah</v>
      </c>
      <c r="H34" s="905">
        <f>IFERROR(__xludf.DUMMYFUNCTION("""COMPUTED_VALUE"""),0.0)</f>
        <v>0</v>
      </c>
      <c r="I34" s="899">
        <f>IFERROR(__xludf.DUMMYFUNCTION("""COMPUTED_VALUE"""),0.0)</f>
        <v>0</v>
      </c>
      <c r="J34" s="900" t="str">
        <f>IFERROR(__xludf.DUMMYFUNCTION("""COMPUTED_VALUE"""),"Rupiah")</f>
        <v>Rupiah</v>
      </c>
      <c r="K34" s="901"/>
      <c r="L34" s="894"/>
      <c r="M34" s="849" t="str">
        <f>IFERROR(__xludf.DUMMYFUNCTION("""COMPUTED_VALUE"""),"PNBP")</f>
        <v>PNBP</v>
      </c>
      <c r="N34" s="849" t="str">
        <f>IFERROR(__xludf.DUMMYFUNCTION("""COMPUTED_VALUE"""),"HIBAH")</f>
        <v>HIBAH</v>
      </c>
      <c r="O34" s="849" t="str">
        <f>IFERROR(__xludf.DUMMYFUNCTION("""COMPUTED_VALUE"""),"MITRA/UNV")</f>
        <v>MITRA/UNV</v>
      </c>
      <c r="P34" s="849" t="str">
        <f>IFERROR(__xludf.DUMMYFUNCTION("""COMPUTED_VALUE"""),"POSTDOC")</f>
        <v>POSTDOC</v>
      </c>
      <c r="Q34" s="849" t="str">
        <f>IFERROR(__xludf.DUMMYFUNCTION("""COMPUTED_VALUE"""),"VISITING RSRCH")</f>
        <v>VISITING RSRCH</v>
      </c>
      <c r="R34" s="849" t="str">
        <f>IFERROR(__xludf.DUMMYFUNCTION("""COMPUTED_VALUE"""),"RIMM")</f>
        <v>RIMM</v>
      </c>
      <c r="S34" s="849" t="str">
        <f>IFERROR(__xludf.DUMMYFUNCTION("""COMPUTED_VALUE"""),"LISENSI")</f>
        <v>LISENSI</v>
      </c>
      <c r="T34" s="851" t="str">
        <f>IFERROR(__xludf.DUMMYFUNCTION("""COMPUTED_VALUE"""),"DALAM NEGERI")</f>
        <v>DALAM NEGERI</v>
      </c>
      <c r="U34" s="851" t="str">
        <f>IFERROR(__xludf.DUMMYFUNCTION("""COMPUTED_VALUE"""),"LUAR NEGERI")</f>
        <v>LUAR NEGERI</v>
      </c>
      <c r="V34" s="906" t="str">
        <f>IFERROR(__xludf.DUMMYFUNCTION("""COMPUTED_VALUE"""),"IN CASH")</f>
        <v>IN CASH</v>
      </c>
      <c r="W34" s="906" t="str">
        <f>IFERROR(__xludf.DUMMYFUNCTION("""COMPUTED_VALUE"""),"IN KIND")</f>
        <v>IN KIND</v>
      </c>
      <c r="X34" s="907"/>
    </row>
    <row r="35">
      <c r="A35" s="822"/>
      <c r="B35" s="825"/>
      <c r="C35" s="893" t="str">
        <f>IFERROR(__xludf.DUMMYFUNCTION("""COMPUTED_VALUE"""),"Februari")</f>
        <v>Februari</v>
      </c>
      <c r="D35" s="825"/>
      <c r="E35" s="400"/>
      <c r="F35" s="829"/>
      <c r="G35" s="829"/>
      <c r="H35" s="829"/>
      <c r="I35" s="829"/>
      <c r="J35" s="829"/>
      <c r="K35" s="829"/>
      <c r="L35" s="894"/>
      <c r="M35" s="853">
        <f>IFERROR(__xludf.DUMMYFUNCTION("""COMPUTED_VALUE"""),0.0)</f>
        <v>0</v>
      </c>
      <c r="N35" s="853">
        <f>IFERROR(__xludf.DUMMYFUNCTION("""COMPUTED_VALUE"""),0.0)</f>
        <v>0</v>
      </c>
      <c r="O35" s="853">
        <f>IFERROR(__xludf.DUMMYFUNCTION("""COMPUTED_VALUE"""),0.0)</f>
        <v>0</v>
      </c>
      <c r="P35" s="853">
        <f>IFERROR(__xludf.DUMMYFUNCTION("""COMPUTED_VALUE"""),0.0)</f>
        <v>0</v>
      </c>
      <c r="Q35" s="853">
        <f>IFERROR(__xludf.DUMMYFUNCTION("""COMPUTED_VALUE"""),0.0)</f>
        <v>0</v>
      </c>
      <c r="R35" s="853">
        <f>IFERROR(__xludf.DUMMYFUNCTION("""COMPUTED_VALUE"""),0.0)</f>
        <v>0</v>
      </c>
      <c r="S35" s="853">
        <f>IFERROR(__xludf.DUMMYFUNCTION("""COMPUTED_VALUE"""),0.0)</f>
        <v>0</v>
      </c>
      <c r="T35" s="853">
        <f>IFERROR(__xludf.DUMMYFUNCTION("""COMPUTED_VALUE"""),0.0)</f>
        <v>0</v>
      </c>
      <c r="U35" s="853">
        <f>IFERROR(__xludf.DUMMYFUNCTION("""COMPUTED_VALUE"""),0.0)</f>
        <v>0</v>
      </c>
      <c r="V35" s="853">
        <f>IFERROR(__xludf.DUMMYFUNCTION("""COMPUTED_VALUE"""),0.0)</f>
        <v>0</v>
      </c>
      <c r="W35" s="853">
        <f>IFERROR(__xludf.DUMMYFUNCTION("""COMPUTED_VALUE"""),0.0)</f>
        <v>0</v>
      </c>
      <c r="X35" s="908"/>
    </row>
    <row r="36">
      <c r="A36" s="822"/>
      <c r="B36" s="825"/>
      <c r="C36" s="893" t="str">
        <f>IFERROR(__xludf.DUMMYFUNCTION("""COMPUTED_VALUE"""),"Februari")</f>
        <v>Februari</v>
      </c>
      <c r="D36" s="825"/>
      <c r="E36" s="811" t="s">
        <v>947</v>
      </c>
      <c r="F36" s="812">
        <v>17.0</v>
      </c>
      <c r="G36" s="897" t="str">
        <f>IFERROR(__xludf.DUMMYFUNCTION("""COMPUTED_VALUE"""),"Kerjasama")</f>
        <v>Kerjasama</v>
      </c>
      <c r="H36" s="898">
        <f>IFERROR(__xludf.DUMMYFUNCTION("""COMPUTED_VALUE"""),0.0)</f>
        <v>0</v>
      </c>
      <c r="I36" s="899">
        <f>IFERROR(__xludf.DUMMYFUNCTION("""COMPUTED_VALUE"""),0.0)</f>
        <v>0</v>
      </c>
      <c r="J36" s="900" t="str">
        <f>IFERROR(__xludf.DUMMYFUNCTION("""COMPUTED_VALUE"""),"Kerjasama")</f>
        <v>Kerjasama</v>
      </c>
      <c r="K36" s="901"/>
      <c r="L36" s="894"/>
      <c r="M36" s="849" t="str">
        <f>IFERROR(__xludf.DUMMYFUNCTION("""COMPUTED_VALUE"""),"PNBP")</f>
        <v>PNBP</v>
      </c>
      <c r="N36" s="849" t="str">
        <f>IFERROR(__xludf.DUMMYFUNCTION("""COMPUTED_VALUE"""),"HIBAH")</f>
        <v>HIBAH</v>
      </c>
      <c r="O36" s="849" t="str">
        <f>IFERROR(__xludf.DUMMYFUNCTION("""COMPUTED_VALUE"""),"LISENSI")</f>
        <v>LISENSI</v>
      </c>
      <c r="P36" s="851" t="str">
        <f>IFERROR(__xludf.DUMMYFUNCTION("""COMPUTED_VALUE"""),"DALAM NEGERI")</f>
        <v>DALAM NEGERI</v>
      </c>
      <c r="Q36" s="851" t="str">
        <f>IFERROR(__xludf.DUMMYFUNCTION("""COMPUTED_VALUE"""),"LUAR NEGERI")</f>
        <v>LUAR NEGERI</v>
      </c>
      <c r="R36" s="895"/>
      <c r="S36" s="895"/>
      <c r="T36" s="895"/>
      <c r="U36" s="895"/>
      <c r="V36" s="895"/>
      <c r="W36" s="895"/>
      <c r="X36" s="895"/>
    </row>
    <row r="37">
      <c r="A37" s="822"/>
      <c r="B37" s="825"/>
      <c r="C37" s="893" t="str">
        <f>IFERROR(__xludf.DUMMYFUNCTION("""COMPUTED_VALUE"""),"Februari")</f>
        <v>Februari</v>
      </c>
      <c r="D37" s="825"/>
      <c r="E37" s="400"/>
      <c r="F37" s="829"/>
      <c r="G37" s="829"/>
      <c r="H37" s="829"/>
      <c r="I37" s="829"/>
      <c r="J37" s="829"/>
      <c r="K37" s="829"/>
      <c r="L37" s="894"/>
      <c r="M37" s="830">
        <f>IFERROR(__xludf.DUMMYFUNCTION("""COMPUTED_VALUE"""),0.0)</f>
        <v>0</v>
      </c>
      <c r="N37" s="830">
        <f>IFERROR(__xludf.DUMMYFUNCTION("""COMPUTED_VALUE"""),0.0)</f>
        <v>0</v>
      </c>
      <c r="O37" s="830">
        <f>IFERROR(__xludf.DUMMYFUNCTION("""COMPUTED_VALUE"""),0.0)</f>
        <v>0</v>
      </c>
      <c r="P37" s="854">
        <f>IFERROR(__xludf.DUMMYFUNCTION("""COMPUTED_VALUE"""),0.0)</f>
        <v>0</v>
      </c>
      <c r="Q37" s="854">
        <f>IFERROR(__xludf.DUMMYFUNCTION("""COMPUTED_VALUE"""),0.0)</f>
        <v>0</v>
      </c>
      <c r="R37" s="909"/>
      <c r="S37" s="909"/>
      <c r="T37" s="895"/>
      <c r="U37" s="910"/>
      <c r="V37" s="910"/>
      <c r="W37" s="910"/>
      <c r="X37" s="910"/>
    </row>
    <row r="38">
      <c r="A38" s="822"/>
      <c r="B38" s="825"/>
      <c r="C38" s="893" t="str">
        <f>IFERROR(__xludf.DUMMYFUNCTION("""COMPUTED_VALUE"""),"Februari")</f>
        <v>Februari</v>
      </c>
      <c r="D38" s="825"/>
      <c r="E38" s="811" t="s">
        <v>948</v>
      </c>
      <c r="F38" s="812">
        <v>26.0</v>
      </c>
      <c r="G38" s="897" t="str">
        <f>IFERROR(__xludf.DUMMYFUNCTION("""COMPUTED_VALUE"""),"Pegawai")</f>
        <v>Pegawai</v>
      </c>
      <c r="H38" s="911">
        <f>IFERROR(__xludf.DUMMYFUNCTION("""COMPUTED_VALUE"""),0.0)</f>
        <v>0</v>
      </c>
      <c r="I38" s="899">
        <f>IFERROR(__xludf.DUMMYFUNCTION("""COMPUTED_VALUE"""),0.0)</f>
        <v>0</v>
      </c>
      <c r="J38" s="900" t="str">
        <f>IFERROR(__xludf.DUMMYFUNCTION("""COMPUTED_VALUE"""),"Pegawai")</f>
        <v>Pegawai</v>
      </c>
      <c r="K38" s="901"/>
      <c r="L38" s="894"/>
      <c r="M38" s="849" t="str">
        <f>IFERROR(__xludf.DUMMYFUNCTION("""COMPUTED_VALUE"""),"S2")</f>
        <v>S2</v>
      </c>
      <c r="N38" s="849" t="str">
        <f>IFERROR(__xludf.DUMMYFUNCTION("""COMPUTED_VALUE"""),"S3")</f>
        <v>S3</v>
      </c>
      <c r="O38" s="857" t="str">
        <f>IFERROR(__xludf.DUMMYFUNCTION("""COMPUTED_VALUE"""),"IJIN BELAJAR")</f>
        <v>IJIN BELAJAR</v>
      </c>
      <c r="P38" s="912" t="str">
        <f>IFERROR(__xludf.DUMMYFUNCTION("""COMPUTED_VALUE"""),"TUGAS BELAJAR")</f>
        <v>TUGAS BELAJAR</v>
      </c>
      <c r="Q38" s="910"/>
      <c r="R38" s="910"/>
      <c r="S38" s="910"/>
      <c r="T38" s="910"/>
      <c r="U38" s="910"/>
      <c r="V38" s="910"/>
      <c r="W38" s="910"/>
      <c r="X38" s="910"/>
    </row>
    <row r="39">
      <c r="A39" s="822"/>
      <c r="B39" s="825"/>
      <c r="C39" s="893" t="str">
        <f>IFERROR(__xludf.DUMMYFUNCTION("""COMPUTED_VALUE"""),"Februari")</f>
        <v>Februari</v>
      </c>
      <c r="D39" s="825"/>
      <c r="E39" s="400"/>
      <c r="F39" s="829"/>
      <c r="G39" s="829"/>
      <c r="H39" s="829"/>
      <c r="I39" s="829"/>
      <c r="J39" s="829"/>
      <c r="K39" s="829"/>
      <c r="L39" s="894"/>
      <c r="M39" s="830">
        <f>IFERROR(__xludf.DUMMYFUNCTION("""COMPUTED_VALUE"""),0.0)</f>
        <v>0</v>
      </c>
      <c r="N39" s="830">
        <f>IFERROR(__xludf.DUMMYFUNCTION("""COMPUTED_VALUE"""),0.0)</f>
        <v>0</v>
      </c>
      <c r="O39" s="830">
        <f>IFERROR(__xludf.DUMMYFUNCTION("""COMPUTED_VALUE"""),0.0)</f>
        <v>0</v>
      </c>
      <c r="P39" s="830">
        <f>IFERROR(__xludf.DUMMYFUNCTION("""COMPUTED_VALUE"""),0.0)</f>
        <v>0</v>
      </c>
      <c r="Q39" s="913"/>
      <c r="R39" s="913"/>
      <c r="S39" s="910"/>
      <c r="T39" s="910"/>
      <c r="U39" s="910"/>
      <c r="V39" s="910"/>
      <c r="W39" s="910"/>
      <c r="X39" s="910"/>
    </row>
    <row r="40">
      <c r="A40" s="822"/>
      <c r="B40" s="825"/>
      <c r="C40" s="893" t="str">
        <f>IFERROR(__xludf.DUMMYFUNCTION("""COMPUTED_VALUE"""),"Februari")</f>
        <v>Februari</v>
      </c>
      <c r="D40" s="825"/>
      <c r="E40" s="811" t="s">
        <v>949</v>
      </c>
      <c r="F40" s="812">
        <v>5.0</v>
      </c>
      <c r="G40" s="897" t="str">
        <f>IFERROR(__xludf.DUMMYFUNCTION("""COMPUTED_VALUE"""),"Peserta")</f>
        <v>Peserta</v>
      </c>
      <c r="H40" s="911">
        <f>IFERROR(__xludf.DUMMYFUNCTION("""COMPUTED_VALUE"""),0.0)</f>
        <v>0</v>
      </c>
      <c r="I40" s="899">
        <f>IFERROR(__xludf.DUMMYFUNCTION("""COMPUTED_VALUE"""),0.0)</f>
        <v>0</v>
      </c>
      <c r="J40" s="900" t="str">
        <f>IFERROR(__xludf.DUMMYFUNCTION("""COMPUTED_VALUE"""),"Peserta")</f>
        <v>Peserta</v>
      </c>
      <c r="K40" s="901"/>
      <c r="L40" s="894"/>
      <c r="M40" s="843" t="str">
        <f>IFERROR(__xludf.DUMMYFUNCTION("""COMPUTED_VALUE"""),"POSTDOCTORAL")</f>
        <v>POSTDOCTORAL</v>
      </c>
      <c r="N40" s="829"/>
      <c r="O40" s="843" t="str">
        <f>IFERROR(__xludf.DUMMYFUNCTION("""COMPUTED_VALUE"""),"VISITING RESEARCH")</f>
        <v>VISITING RESEARCH</v>
      </c>
      <c r="P40" s="829"/>
      <c r="Q40" s="914" t="str">
        <f>IFERROR(__xludf.DUMMYFUNCTION("""COMPUTED_VALUE"""),"PUBLIKASI")</f>
        <v>PUBLIKASI</v>
      </c>
      <c r="R40" s="829"/>
      <c r="S40" s="910"/>
      <c r="T40" s="910"/>
      <c r="U40" s="910"/>
      <c r="V40" s="910"/>
      <c r="W40" s="910"/>
      <c r="X40" s="910"/>
    </row>
    <row r="41">
      <c r="A41" s="822"/>
      <c r="B41" s="825"/>
      <c r="C41" s="893" t="str">
        <f>IFERROR(__xludf.DUMMYFUNCTION("""COMPUTED_VALUE"""),"Februari")</f>
        <v>Februari</v>
      </c>
      <c r="D41" s="825"/>
      <c r="E41" s="823"/>
      <c r="F41" s="825"/>
      <c r="G41" s="825"/>
      <c r="H41" s="825"/>
      <c r="I41" s="825"/>
      <c r="J41" s="825"/>
      <c r="K41" s="825"/>
      <c r="L41" s="894"/>
      <c r="M41" s="827" t="str">
        <f>IFERROR(__xludf.DUMMYFUNCTION("""COMPUTED_VALUE"""),"Dalam Negeri")</f>
        <v>Dalam Negeri</v>
      </c>
      <c r="N41" s="827" t="str">
        <f>IFERROR(__xludf.DUMMYFUNCTION("""COMPUTED_VALUE"""),"Luar Negeri")</f>
        <v>Luar Negeri</v>
      </c>
      <c r="O41" s="827" t="str">
        <f>IFERROR(__xludf.DUMMYFUNCTION("""COMPUTED_VALUE"""),"Dalam Negeri")</f>
        <v>Dalam Negeri</v>
      </c>
      <c r="P41" s="827" t="str">
        <f>IFERROR(__xludf.DUMMYFUNCTION("""COMPUTED_VALUE"""),"Luar Negeri")</f>
        <v>Luar Negeri</v>
      </c>
      <c r="Q41" s="861" t="str">
        <f>IFERROR(__xludf.DUMMYFUNCTION("""COMPUTED_VALUE"""),"Dalam Negeri")</f>
        <v>Dalam Negeri</v>
      </c>
      <c r="R41" s="861" t="str">
        <f>IFERROR(__xludf.DUMMYFUNCTION("""COMPUTED_VALUE"""),"Luar Negeri")</f>
        <v>Luar Negeri</v>
      </c>
      <c r="S41" s="910"/>
      <c r="T41" s="910"/>
      <c r="U41" s="910"/>
      <c r="V41" s="910"/>
      <c r="W41" s="910"/>
      <c r="X41" s="910"/>
    </row>
    <row r="42">
      <c r="A42" s="822"/>
      <c r="B42" s="825"/>
      <c r="C42" s="893" t="str">
        <f>IFERROR(__xludf.DUMMYFUNCTION("""COMPUTED_VALUE"""),"Februari")</f>
        <v>Februari</v>
      </c>
      <c r="D42" s="875"/>
      <c r="E42" s="874"/>
      <c r="F42" s="863"/>
      <c r="G42" s="875"/>
      <c r="H42" s="875"/>
      <c r="I42" s="875"/>
      <c r="J42" s="875"/>
      <c r="K42" s="875"/>
      <c r="L42" s="915"/>
      <c r="M42" s="916">
        <f>IFERROR(__xludf.DUMMYFUNCTION("""COMPUTED_VALUE"""),0.0)</f>
        <v>0</v>
      </c>
      <c r="N42" s="916">
        <f>IFERROR(__xludf.DUMMYFUNCTION("""COMPUTED_VALUE"""),0.0)</f>
        <v>0</v>
      </c>
      <c r="O42" s="916">
        <f>IFERROR(__xludf.DUMMYFUNCTION("""COMPUTED_VALUE"""),0.0)</f>
        <v>0</v>
      </c>
      <c r="P42" s="916">
        <f>IFERROR(__xludf.DUMMYFUNCTION("""COMPUTED_VALUE"""),0.0)</f>
        <v>0</v>
      </c>
      <c r="Q42" s="916">
        <f>IFERROR(__xludf.DUMMYFUNCTION("""COMPUTED_VALUE"""),0.0)</f>
        <v>0</v>
      </c>
      <c r="R42" s="916">
        <f>IFERROR(__xludf.DUMMYFUNCTION("""COMPUTED_VALUE"""),0.0)</f>
        <v>0</v>
      </c>
      <c r="S42" s="910"/>
      <c r="T42" s="910"/>
      <c r="U42" s="910"/>
      <c r="V42" s="910"/>
      <c r="W42" s="910"/>
      <c r="X42" s="910"/>
    </row>
    <row r="43">
      <c r="A43" s="822"/>
      <c r="B43" s="825"/>
      <c r="C43" s="893" t="str">
        <f>IFERROR(__xludf.DUMMYFUNCTION("""COMPUTED_VALUE"""),"Februari")</f>
        <v>Februari</v>
      </c>
      <c r="D43" s="917" t="str">
        <f>IFERROR(__xludf.DUMMYFUNCTION("""COMPUTED_VALUE"""),"Capaian Lainnya")</f>
        <v>Capaian Lainnya</v>
      </c>
      <c r="E43" s="867" t="s">
        <v>950</v>
      </c>
      <c r="F43" s="868"/>
      <c r="G43" s="918" t="str">
        <f>IFERROR(__xludf.DUMMYFUNCTION("""COMPUTED_VALUE"""),"Sitasi")</f>
        <v>Sitasi</v>
      </c>
      <c r="H43" s="919">
        <f>IFERROR(__xludf.DUMMYFUNCTION("""COMPUTED_VALUE"""),141.0)</f>
        <v>141</v>
      </c>
      <c r="I43" s="920"/>
      <c r="J43" s="921" t="str">
        <f>IFERROR(__xludf.DUMMYFUNCTION("""COMPUTED_VALUE"""),"Sitasi")</f>
        <v>Sitasi</v>
      </c>
      <c r="K43" s="922"/>
      <c r="L43" s="923"/>
      <c r="M43" s="849" t="str">
        <f>IFERROR(__xludf.DUMMYFUNCTION("""COMPUTED_VALUE"""),"DOK PUBLISHED")</f>
        <v>DOK PUBLISHED</v>
      </c>
      <c r="N43" s="849" t="str">
        <f>IFERROR(__xludf.DUMMYFUNCTION("""COMPUTED_VALUE"""),"SITASI")</f>
        <v>SITASI</v>
      </c>
      <c r="O43" s="910"/>
      <c r="P43" s="910"/>
      <c r="Q43" s="910"/>
      <c r="R43" s="910"/>
      <c r="S43" s="910"/>
      <c r="T43" s="910"/>
      <c r="U43" s="910"/>
      <c r="V43" s="910"/>
      <c r="W43" s="910"/>
      <c r="X43" s="910"/>
    </row>
    <row r="44">
      <c r="A44" s="822"/>
      <c r="B44" s="825"/>
      <c r="C44" s="893" t="str">
        <f>IFERROR(__xludf.DUMMYFUNCTION("""COMPUTED_VALUE"""),"Februari")</f>
        <v>Februari</v>
      </c>
      <c r="D44" s="825"/>
      <c r="E44" s="874"/>
      <c r="F44" s="875"/>
      <c r="G44" s="875"/>
      <c r="H44" s="875"/>
      <c r="I44" s="875"/>
      <c r="J44" s="875"/>
      <c r="K44" s="875"/>
      <c r="L44" s="894"/>
      <c r="M44" s="830">
        <f>IFERROR(__xludf.DUMMYFUNCTION("""COMPUTED_VALUE"""),0.0)</f>
        <v>0</v>
      </c>
      <c r="N44" s="830">
        <f>IFERROR(__xludf.DUMMYFUNCTION("""COMPUTED_VALUE"""),0.0)</f>
        <v>0</v>
      </c>
      <c r="O44" s="910"/>
      <c r="P44" s="910"/>
      <c r="Q44" s="910"/>
      <c r="R44" s="910"/>
      <c r="S44" s="910"/>
      <c r="T44" s="910"/>
      <c r="U44" s="910"/>
      <c r="V44" s="910"/>
      <c r="W44" s="910"/>
      <c r="X44" s="910"/>
    </row>
    <row r="45">
      <c r="A45" s="822"/>
      <c r="B45" s="825"/>
      <c r="C45" s="893" t="str">
        <f>IFERROR(__xludf.DUMMYFUNCTION("""COMPUTED_VALUE"""),"Februari")</f>
        <v>Februari</v>
      </c>
      <c r="D45" s="825"/>
      <c r="E45" s="867" t="s">
        <v>951</v>
      </c>
      <c r="F45" s="868"/>
      <c r="G45" s="924" t="str">
        <f>IFERROR(__xludf.DUMMYFUNCTION("""COMPUTED_VALUE"""),"Publikasi Nasional")</f>
        <v>Publikasi Nasional</v>
      </c>
      <c r="H45" s="925">
        <f>IFERROR(__xludf.DUMMYFUNCTION("""COMPUTED_VALUE"""),0.0)</f>
        <v>0</v>
      </c>
      <c r="I45" s="926"/>
      <c r="J45" s="927" t="str">
        <f>IFERROR(__xludf.DUMMYFUNCTION("""COMPUTED_VALUE"""),"Publikasi Nasional")</f>
        <v>Publikasi Nasional</v>
      </c>
      <c r="K45" s="928"/>
      <c r="L45" s="894"/>
      <c r="M45" s="910"/>
      <c r="N45" s="910"/>
      <c r="O45" s="910"/>
      <c r="P45" s="910"/>
      <c r="Q45" s="910"/>
      <c r="R45" s="910"/>
      <c r="S45" s="910"/>
      <c r="T45" s="910"/>
      <c r="U45" s="910"/>
      <c r="V45" s="910"/>
      <c r="W45" s="910"/>
      <c r="X45" s="910"/>
    </row>
    <row r="46">
      <c r="A46" s="673"/>
      <c r="B46" s="881"/>
      <c r="C46" s="929" t="str">
        <f>IFERROR(__xludf.DUMMYFUNCTION("""COMPUTED_VALUE"""),"Februari")</f>
        <v>Februari</v>
      </c>
      <c r="D46" s="881"/>
      <c r="E46" s="674"/>
      <c r="F46" s="881"/>
      <c r="G46" s="881"/>
      <c r="H46" s="881"/>
      <c r="I46" s="881"/>
      <c r="J46" s="881"/>
      <c r="K46" s="881"/>
      <c r="L46" s="930"/>
      <c r="M46" s="910"/>
      <c r="N46" s="910"/>
      <c r="O46" s="910"/>
      <c r="P46" s="910"/>
      <c r="Q46" s="910"/>
      <c r="R46" s="910"/>
      <c r="S46" s="910"/>
      <c r="T46" s="910"/>
      <c r="U46" s="910"/>
      <c r="V46" s="910"/>
      <c r="W46" s="910"/>
      <c r="X46" s="910"/>
    </row>
    <row r="47">
      <c r="A47" s="807">
        <f>IFERROR(__xludf.DUMMYFUNCTION("""COMPUTED_VALUE"""),3.0)</f>
        <v>3</v>
      </c>
      <c r="B47" s="883" t="str">
        <f>IFERROR(__xludf.DUMMYFUNCTION("""COMPUTED_VALUE"""),"Triwulan I")</f>
        <v>Triwulan I</v>
      </c>
      <c r="C47" s="884" t="str">
        <f>IFERROR(__xludf.DUMMYFUNCTION("""COMPUTED_VALUE"""),"Triwulan I")</f>
        <v>Triwulan I</v>
      </c>
      <c r="D47" s="931" t="str">
        <f>IFERROR(__xludf.DUMMYFUNCTION("""COMPUTED_VALUE"""),"Terselenggaranya riset dan inovasi di bidang elektronikan dan informatika")</f>
        <v>Terselenggaranya riset dan inovasi di bidang elektronikan dan informatika</v>
      </c>
      <c r="E47" s="811" t="s">
        <v>943</v>
      </c>
      <c r="F47" s="812">
        <v>2.0</v>
      </c>
      <c r="G47" s="932" t="str">
        <f>IFERROR(__xludf.DUMMYFUNCTION("""COMPUTED_VALUE"""),"Purwarupa")</f>
        <v>Purwarupa</v>
      </c>
      <c r="H47" s="887">
        <f>IFERROR(__xludf.DUMMYFUNCTION("""COMPUTED_VALUE"""),0.0)</f>
        <v>0</v>
      </c>
      <c r="I47" s="888">
        <f>IFERROR(__xludf.DUMMYFUNCTION("""COMPUTED_VALUE"""),0.0)</f>
        <v>0</v>
      </c>
      <c r="J47" s="933" t="str">
        <f>IFERROR(__xludf.DUMMYFUNCTION("""COMPUTED_VALUE"""),"Purwarupa")</f>
        <v>Purwarupa</v>
      </c>
      <c r="K47" s="934"/>
      <c r="L47" s="891">
        <f>IFERROR(__xludf.DUMMYFUNCTION("""COMPUTED_VALUE"""),0.04019480519480519)</f>
        <v>0.04019480519</v>
      </c>
      <c r="M47" s="819" t="str">
        <f>IFERROR(__xludf.DUMMYFUNCTION("""COMPUTED_VALUE"""),"HARDWARE PROTOTYPE")</f>
        <v>HARDWARE PROTOTYPE</v>
      </c>
      <c r="N47" s="820"/>
      <c r="O47" s="819" t="str">
        <f>IFERROR(__xludf.DUMMYFUNCTION("""COMPUTED_VALUE"""),"SOFTWARE PROTOTYPE")</f>
        <v>SOFTWARE PROTOTYPE</v>
      </c>
      <c r="P47" s="820"/>
      <c r="Q47" s="819" t="str">
        <f>IFERROR(__xludf.DUMMYFUNCTION("""COMPUTED_VALUE"""),"DESAIN PROTOTYPE")</f>
        <v>DESAIN PROTOTYPE</v>
      </c>
      <c r="R47" s="820"/>
      <c r="S47" s="935"/>
      <c r="T47" s="935"/>
      <c r="U47" s="935"/>
      <c r="V47" s="935"/>
      <c r="W47" s="935"/>
      <c r="X47" s="935"/>
    </row>
    <row r="48">
      <c r="A48" s="822"/>
      <c r="B48" s="825"/>
      <c r="C48" s="893" t="str">
        <f>IFERROR(__xludf.DUMMYFUNCTION("""COMPUTED_VALUE"""),"Triwulan I")</f>
        <v>Triwulan I</v>
      </c>
      <c r="D48" s="825"/>
      <c r="E48" s="823"/>
      <c r="F48" s="825"/>
      <c r="G48" s="825"/>
      <c r="H48" s="825"/>
      <c r="I48" s="825"/>
      <c r="J48" s="825"/>
      <c r="K48" s="825"/>
      <c r="L48" s="894"/>
      <c r="M48" s="827" t="str">
        <f>IFERROR(__xludf.DUMMYFUNCTION("""COMPUTED_VALUE"""),"Selesai")</f>
        <v>Selesai</v>
      </c>
      <c r="N48" s="827" t="str">
        <f>IFERROR(__xludf.DUMMYFUNCTION("""COMPUTED_VALUE"""),"Skala Uji Lab")</f>
        <v>Skala Uji Lab</v>
      </c>
      <c r="O48" s="827" t="str">
        <f>IFERROR(__xludf.DUMMYFUNCTION("""COMPUTED_VALUE"""),"Selesai")</f>
        <v>Selesai</v>
      </c>
      <c r="P48" s="827" t="str">
        <f>IFERROR(__xludf.DUMMYFUNCTION("""COMPUTED_VALUE"""),"Skala Uji Lab")</f>
        <v>Skala Uji Lab</v>
      </c>
      <c r="Q48" s="827" t="str">
        <f>IFERROR(__xludf.DUMMYFUNCTION("""COMPUTED_VALUE"""),"Selesai")</f>
        <v>Selesai</v>
      </c>
      <c r="R48" s="936" t="str">
        <f>IFERROR(__xludf.DUMMYFUNCTION("""COMPUTED_VALUE"""),"Skala Uji Lab")</f>
        <v>Skala Uji Lab</v>
      </c>
      <c r="S48" s="937"/>
      <c r="T48" s="938"/>
      <c r="U48" s="935"/>
      <c r="V48" s="935"/>
      <c r="W48" s="935"/>
      <c r="X48" s="935"/>
    </row>
    <row r="49">
      <c r="A49" s="822"/>
      <c r="B49" s="825"/>
      <c r="C49" s="893" t="str">
        <f>IFERROR(__xludf.DUMMYFUNCTION("""COMPUTED_VALUE"""),"Triwulan I")</f>
        <v>Triwulan I</v>
      </c>
      <c r="D49" s="825"/>
      <c r="E49" s="400"/>
      <c r="F49" s="829"/>
      <c r="G49" s="829"/>
      <c r="H49" s="829"/>
      <c r="I49" s="829"/>
      <c r="J49" s="829"/>
      <c r="K49" s="829"/>
      <c r="L49" s="894"/>
      <c r="M49" s="830">
        <f>IFERROR(__xludf.DUMMYFUNCTION("""COMPUTED_VALUE"""),0.0)</f>
        <v>0</v>
      </c>
      <c r="N49" s="830">
        <f>IFERROR(__xludf.DUMMYFUNCTION("""COMPUTED_VALUE"""),0.0)</f>
        <v>0</v>
      </c>
      <c r="O49" s="830">
        <f>IFERROR(__xludf.DUMMYFUNCTION("""COMPUTED_VALUE"""),0.0)</f>
        <v>0</v>
      </c>
      <c r="P49" s="830">
        <f>IFERROR(__xludf.DUMMYFUNCTION("""COMPUTED_VALUE"""),0.0)</f>
        <v>0</v>
      </c>
      <c r="Q49" s="830">
        <f>IFERROR(__xludf.DUMMYFUNCTION("""COMPUTED_VALUE"""),0.0)</f>
        <v>0</v>
      </c>
      <c r="R49" s="939">
        <f>IFERROR(__xludf.DUMMYFUNCTION("""COMPUTED_VALUE"""),0.0)</f>
        <v>0</v>
      </c>
      <c r="S49" s="940"/>
      <c r="T49" s="941"/>
      <c r="U49" s="935"/>
      <c r="V49" s="935"/>
      <c r="W49" s="935"/>
      <c r="X49" s="935"/>
    </row>
    <row r="50">
      <c r="A50" s="822"/>
      <c r="B50" s="825"/>
      <c r="C50" s="893" t="str">
        <f>IFERROR(__xludf.DUMMYFUNCTION("""COMPUTED_VALUE"""),"Triwulan I")</f>
        <v>Triwulan I</v>
      </c>
      <c r="D50" s="825"/>
      <c r="E50" s="811" t="s">
        <v>944</v>
      </c>
      <c r="F50" s="812">
        <v>80.0</v>
      </c>
      <c r="G50" s="942" t="str">
        <f>IFERROR(__xludf.DUMMYFUNCTION("""COMPUTED_VALUE"""),"Publikasi Internasional")</f>
        <v>Publikasi Internasional</v>
      </c>
      <c r="H50" s="898">
        <f>IFERROR(__xludf.DUMMYFUNCTION("""COMPUTED_VALUE"""),14.0)</f>
        <v>14</v>
      </c>
      <c r="I50" s="899">
        <f>IFERROR(__xludf.DUMMYFUNCTION("""COMPUTED_VALUE"""),0.175)</f>
        <v>0.175</v>
      </c>
      <c r="J50" s="943" t="str">
        <f>IFERROR(__xludf.DUMMYFUNCTION("""COMPUTED_VALUE"""),"Publikasi Internasional")</f>
        <v>Publikasi Internasional</v>
      </c>
      <c r="K50" s="944"/>
      <c r="L50" s="894"/>
      <c r="M50" s="945" t="str">
        <f>IFERROR(__xludf.DUMMYFUNCTION("""COMPUTED_VALUE"""),"JURNAL")</f>
        <v>JURNAL</v>
      </c>
      <c r="N50" s="829"/>
      <c r="O50" s="945" t="str">
        <f>IFERROR(__xludf.DUMMYFUNCTION("""COMPUTED_VALUE"""),"PHROSIDING")</f>
        <v>PHROSIDING</v>
      </c>
      <c r="P50" s="829"/>
      <c r="Q50" s="945" t="str">
        <f>IFERROR(__xludf.DUMMYFUNCTION("""COMPUTED_VALUE"""),"BUKU")</f>
        <v>BUKU</v>
      </c>
      <c r="R50" s="829"/>
      <c r="S50" s="945" t="str">
        <f>IFERROR(__xludf.DUMMYFUNCTION("""COMPUTED_VALUE"""),"BAGIAN BUKU")</f>
        <v>BAGIAN BUKU</v>
      </c>
      <c r="T50" s="829"/>
      <c r="U50" s="935"/>
      <c r="V50" s="935"/>
      <c r="W50" s="935"/>
      <c r="X50" s="935"/>
    </row>
    <row r="51">
      <c r="A51" s="822"/>
      <c r="B51" s="825"/>
      <c r="C51" s="893" t="str">
        <f>IFERROR(__xludf.DUMMYFUNCTION("""COMPUTED_VALUE"""),"Triwulan I")</f>
        <v>Triwulan I</v>
      </c>
      <c r="D51" s="825"/>
      <c r="E51" s="823"/>
      <c r="F51" s="825"/>
      <c r="G51" s="825"/>
      <c r="H51" s="825"/>
      <c r="I51" s="825"/>
      <c r="J51" s="825"/>
      <c r="K51" s="825"/>
      <c r="L51" s="894"/>
      <c r="M51" s="946" t="str">
        <f>IFERROR(__xludf.DUMMYFUNCTION("""COMPUTED_VALUE"""),"Published")</f>
        <v>Published</v>
      </c>
      <c r="N51" s="946" t="str">
        <f>IFERROR(__xludf.DUMMYFUNCTION("""COMPUTED_VALUE"""),"Accepted")</f>
        <v>Accepted</v>
      </c>
      <c r="O51" s="946" t="str">
        <f>IFERROR(__xludf.DUMMYFUNCTION("""COMPUTED_VALUE"""),"Published")</f>
        <v>Published</v>
      </c>
      <c r="P51" s="946" t="str">
        <f>IFERROR(__xludf.DUMMYFUNCTION("""COMPUTED_VALUE"""),"Accepted")</f>
        <v>Accepted</v>
      </c>
      <c r="Q51" s="946" t="str">
        <f>IFERROR(__xludf.DUMMYFUNCTION("""COMPUTED_VALUE"""),"Published")</f>
        <v>Published</v>
      </c>
      <c r="R51" s="946" t="str">
        <f>IFERROR(__xludf.DUMMYFUNCTION("""COMPUTED_VALUE"""),"Accepted")</f>
        <v>Accepted</v>
      </c>
      <c r="S51" s="946" t="str">
        <f>IFERROR(__xludf.DUMMYFUNCTION("""COMPUTED_VALUE"""),"Published")</f>
        <v>Published</v>
      </c>
      <c r="T51" s="946" t="str">
        <f>IFERROR(__xludf.DUMMYFUNCTION("""COMPUTED_VALUE"""),"Accepted")</f>
        <v>Accepted</v>
      </c>
      <c r="U51" s="935"/>
      <c r="V51" s="935"/>
      <c r="W51" s="935"/>
      <c r="X51" s="935"/>
    </row>
    <row r="52">
      <c r="A52" s="822"/>
      <c r="B52" s="825"/>
      <c r="C52" s="893" t="str">
        <f>IFERROR(__xludf.DUMMYFUNCTION("""COMPUTED_VALUE"""),"Triwulan I")</f>
        <v>Triwulan I</v>
      </c>
      <c r="D52" s="825"/>
      <c r="E52" s="400"/>
      <c r="F52" s="829"/>
      <c r="G52" s="829"/>
      <c r="H52" s="829"/>
      <c r="I52" s="829"/>
      <c r="J52" s="829"/>
      <c r="K52" s="829"/>
      <c r="L52" s="894"/>
      <c r="M52" s="830">
        <f>IFERROR(__xludf.DUMMYFUNCTION("""COMPUTED_VALUE"""),13.0)</f>
        <v>13</v>
      </c>
      <c r="N52" s="947">
        <f>IFERROR(__xludf.DUMMYFUNCTION("""COMPUTED_VALUE"""),0.0)</f>
        <v>0</v>
      </c>
      <c r="O52" s="947">
        <f>IFERROR(__xludf.DUMMYFUNCTION("""COMPUTED_VALUE"""),1.0)</f>
        <v>1</v>
      </c>
      <c r="P52" s="947">
        <f>IFERROR(__xludf.DUMMYFUNCTION("""COMPUTED_VALUE"""),0.0)</f>
        <v>0</v>
      </c>
      <c r="Q52" s="947">
        <f>IFERROR(__xludf.DUMMYFUNCTION("""COMPUTED_VALUE"""),0.0)</f>
        <v>0</v>
      </c>
      <c r="R52" s="947">
        <f>IFERROR(__xludf.DUMMYFUNCTION("""COMPUTED_VALUE"""),0.0)</f>
        <v>0</v>
      </c>
      <c r="S52" s="947">
        <f>IFERROR(__xludf.DUMMYFUNCTION("""COMPUTED_VALUE"""),0.0)</f>
        <v>0</v>
      </c>
      <c r="T52" s="947">
        <f>IFERROR(__xludf.DUMMYFUNCTION("""COMPUTED_VALUE"""),0.0)</f>
        <v>0</v>
      </c>
      <c r="U52" s="935"/>
      <c r="V52" s="935"/>
      <c r="W52" s="935"/>
      <c r="X52" s="935"/>
    </row>
    <row r="53">
      <c r="A53" s="822"/>
      <c r="B53" s="825"/>
      <c r="C53" s="893" t="str">
        <f>IFERROR(__xludf.DUMMYFUNCTION("""COMPUTED_VALUE"""),"Triwulan I")</f>
        <v>Triwulan I</v>
      </c>
      <c r="D53" s="825"/>
      <c r="E53" s="811" t="s">
        <v>945</v>
      </c>
      <c r="F53" s="812">
        <v>24.0</v>
      </c>
      <c r="G53" s="942" t="str">
        <f>IFERROR(__xludf.DUMMYFUNCTION("""COMPUTED_VALUE"""),"Kekayaan Intelektual")</f>
        <v>Kekayaan Intelektual</v>
      </c>
      <c r="H53" s="898">
        <f>IFERROR(__xludf.DUMMYFUNCTION("""COMPUTED_VALUE"""),0.0)</f>
        <v>0</v>
      </c>
      <c r="I53" s="899">
        <f>IFERROR(__xludf.DUMMYFUNCTION("""COMPUTED_VALUE"""),0.0)</f>
        <v>0</v>
      </c>
      <c r="J53" s="943" t="str">
        <f>IFERROR(__xludf.DUMMYFUNCTION("""COMPUTED_VALUE"""),"Kekayaan Intelektual")</f>
        <v>Kekayaan Intelektual</v>
      </c>
      <c r="K53" s="944"/>
      <c r="L53" s="894"/>
      <c r="M53" s="948" t="str">
        <f>IFERROR(__xludf.DUMMYFUNCTION("""COMPUTED_VALUE"""),"PATEN")</f>
        <v>PATEN</v>
      </c>
      <c r="N53" s="829"/>
      <c r="O53" s="948" t="str">
        <f>IFERROR(__xludf.DUMMYFUNCTION("""COMPUTED_VALUE"""),"HAK CIPTA")</f>
        <v>HAK CIPTA</v>
      </c>
      <c r="P53" s="829"/>
      <c r="Q53" s="948" t="str">
        <f>IFERROR(__xludf.DUMMYFUNCTION("""COMPUTED_VALUE"""),"DESAIN INDUSTRI")</f>
        <v>DESAIN INDUSTRI</v>
      </c>
      <c r="R53" s="829"/>
      <c r="S53" s="206"/>
      <c r="U53" s="935"/>
      <c r="V53" s="935"/>
      <c r="W53" s="935"/>
      <c r="X53" s="935"/>
    </row>
    <row r="54">
      <c r="A54" s="822"/>
      <c r="B54" s="825"/>
      <c r="C54" s="893" t="str">
        <f>IFERROR(__xludf.DUMMYFUNCTION("""COMPUTED_VALUE"""),"Triwulan I")</f>
        <v>Triwulan I</v>
      </c>
      <c r="D54" s="825"/>
      <c r="E54" s="823"/>
      <c r="F54" s="825"/>
      <c r="G54" s="825"/>
      <c r="H54" s="825"/>
      <c r="I54" s="825"/>
      <c r="J54" s="825"/>
      <c r="K54" s="825"/>
      <c r="L54" s="894"/>
      <c r="M54" s="949" t="str">
        <f>IFERROR(__xludf.DUMMYFUNCTION("""COMPUTED_VALUE"""),"Terdaftar DJKI")</f>
        <v>Terdaftar DJKI</v>
      </c>
      <c r="N54" s="949" t="str">
        <f>IFERROR(__xludf.DUMMYFUNCTION("""COMPUTED_VALUE"""),"Tersertifikasi")</f>
        <v>Tersertifikasi</v>
      </c>
      <c r="O54" s="949" t="str">
        <f>IFERROR(__xludf.DUMMYFUNCTION("""COMPUTED_VALUE"""),"Terdaftar DJKI")</f>
        <v>Terdaftar DJKI</v>
      </c>
      <c r="P54" s="949" t="str">
        <f>IFERROR(__xludf.DUMMYFUNCTION("""COMPUTED_VALUE"""),"Tersertifikasi")</f>
        <v>Tersertifikasi</v>
      </c>
      <c r="Q54" s="949" t="str">
        <f>IFERROR(__xludf.DUMMYFUNCTION("""COMPUTED_VALUE"""),"Terdaftar DJKI")</f>
        <v>Terdaftar DJKI</v>
      </c>
      <c r="R54" s="949" t="str">
        <f>IFERROR(__xludf.DUMMYFUNCTION("""COMPUTED_VALUE"""),"Tersertifikasi")</f>
        <v>Tersertifikasi</v>
      </c>
      <c r="S54" s="935"/>
      <c r="T54" s="935"/>
      <c r="U54" s="935"/>
      <c r="V54" s="935"/>
      <c r="W54" s="935"/>
      <c r="X54" s="935"/>
    </row>
    <row r="55">
      <c r="A55" s="822"/>
      <c r="B55" s="825"/>
      <c r="C55" s="893" t="str">
        <f>IFERROR(__xludf.DUMMYFUNCTION("""COMPUTED_VALUE"""),"Triwulan I")</f>
        <v>Triwulan I</v>
      </c>
      <c r="D55" s="825"/>
      <c r="E55" s="400"/>
      <c r="F55" s="829"/>
      <c r="G55" s="829"/>
      <c r="H55" s="829"/>
      <c r="I55" s="829"/>
      <c r="J55" s="829"/>
      <c r="K55" s="829"/>
      <c r="L55" s="894"/>
      <c r="M55" s="947">
        <f>IFERROR(__xludf.DUMMYFUNCTION("""COMPUTED_VALUE"""),0.0)</f>
        <v>0</v>
      </c>
      <c r="N55" s="947">
        <f>IFERROR(__xludf.DUMMYFUNCTION("""COMPUTED_VALUE"""),0.0)</f>
        <v>0</v>
      </c>
      <c r="O55" s="947">
        <f>IFERROR(__xludf.DUMMYFUNCTION("""COMPUTED_VALUE"""),0.0)</f>
        <v>0</v>
      </c>
      <c r="P55" s="947">
        <f>IFERROR(__xludf.DUMMYFUNCTION("""COMPUTED_VALUE"""),0.0)</f>
        <v>0</v>
      </c>
      <c r="Q55" s="947">
        <f>IFERROR(__xludf.DUMMYFUNCTION("""COMPUTED_VALUE"""),0.0)</f>
        <v>0</v>
      </c>
      <c r="R55" s="947">
        <f>IFERROR(__xludf.DUMMYFUNCTION("""COMPUTED_VALUE"""),0.0)</f>
        <v>0</v>
      </c>
      <c r="S55" s="950"/>
      <c r="T55" s="950"/>
      <c r="U55" s="950"/>
      <c r="V55" s="950"/>
      <c r="W55" s="950"/>
      <c r="X55" s="935"/>
    </row>
    <row r="56">
      <c r="A56" s="822"/>
      <c r="B56" s="825"/>
      <c r="C56" s="893" t="str">
        <f>IFERROR(__xludf.DUMMYFUNCTION("""COMPUTED_VALUE"""),"Triwulan I")</f>
        <v>Triwulan I</v>
      </c>
      <c r="D56" s="825"/>
      <c r="E56" s="811" t="s">
        <v>946</v>
      </c>
      <c r="F56" s="847">
        <v>2.2E9</v>
      </c>
      <c r="G56" s="942" t="str">
        <f>IFERROR(__xludf.DUMMYFUNCTION("""COMPUTED_VALUE"""),"Rupiah")</f>
        <v>Rupiah</v>
      </c>
      <c r="H56" s="905">
        <f>IFERROR(__xludf.DUMMYFUNCTION("""COMPUTED_VALUE"""),2.34E8)</f>
        <v>234000000</v>
      </c>
      <c r="I56" s="899">
        <f>IFERROR(__xludf.DUMMYFUNCTION("""COMPUTED_VALUE"""),0.10636363636363637)</f>
        <v>0.1063636364</v>
      </c>
      <c r="J56" s="943" t="str">
        <f>IFERROR(__xludf.DUMMYFUNCTION("""COMPUTED_VALUE"""),"Rupiah")</f>
        <v>Rupiah</v>
      </c>
      <c r="K56" s="944"/>
      <c r="L56" s="894"/>
      <c r="M56" s="951" t="str">
        <f>IFERROR(__xludf.DUMMYFUNCTION("""COMPUTED_VALUE"""),"PNBP")</f>
        <v>PNBP</v>
      </c>
      <c r="N56" s="951" t="str">
        <f>IFERROR(__xludf.DUMMYFUNCTION("""COMPUTED_VALUE"""),"HIBAH")</f>
        <v>HIBAH</v>
      </c>
      <c r="O56" s="951" t="str">
        <f>IFERROR(__xludf.DUMMYFUNCTION("""COMPUTED_VALUE"""),"MITRA/UNV")</f>
        <v>MITRA/UNV</v>
      </c>
      <c r="P56" s="951" t="str">
        <f>IFERROR(__xludf.DUMMYFUNCTION("""COMPUTED_VALUE"""),"POSTDOC")</f>
        <v>POSTDOC</v>
      </c>
      <c r="Q56" s="951" t="str">
        <f>IFERROR(__xludf.DUMMYFUNCTION("""COMPUTED_VALUE"""),"VISITING RSRCH")</f>
        <v>VISITING RSRCH</v>
      </c>
      <c r="R56" s="951" t="str">
        <f>IFERROR(__xludf.DUMMYFUNCTION("""COMPUTED_VALUE"""),"RIMM")</f>
        <v>RIMM</v>
      </c>
      <c r="S56" s="951" t="str">
        <f>IFERROR(__xludf.DUMMYFUNCTION("""COMPUTED_VALUE"""),"LISENSI")</f>
        <v>LISENSI</v>
      </c>
      <c r="T56" s="952" t="str">
        <f>IFERROR(__xludf.DUMMYFUNCTION("""COMPUTED_VALUE"""),"DALAM NEGERI")</f>
        <v>DALAM NEGERI</v>
      </c>
      <c r="U56" s="952" t="str">
        <f>IFERROR(__xludf.DUMMYFUNCTION("""COMPUTED_VALUE"""),"LUAR NEGERI")</f>
        <v>LUAR NEGERI</v>
      </c>
      <c r="V56" s="953" t="str">
        <f>IFERROR(__xludf.DUMMYFUNCTION("""COMPUTED_VALUE"""),"IN CASH")</f>
        <v>IN CASH</v>
      </c>
      <c r="W56" s="953" t="str">
        <f>IFERROR(__xludf.DUMMYFUNCTION("""COMPUTED_VALUE"""),"IN KIND")</f>
        <v>IN KIND</v>
      </c>
      <c r="X56" s="954"/>
    </row>
    <row r="57">
      <c r="A57" s="822"/>
      <c r="B57" s="825"/>
      <c r="C57" s="893" t="str">
        <f>IFERROR(__xludf.DUMMYFUNCTION("""COMPUTED_VALUE"""),"Triwulan I")</f>
        <v>Triwulan I</v>
      </c>
      <c r="D57" s="825"/>
      <c r="E57" s="400"/>
      <c r="F57" s="829"/>
      <c r="G57" s="829"/>
      <c r="H57" s="829"/>
      <c r="I57" s="829"/>
      <c r="J57" s="829"/>
      <c r="K57" s="829"/>
      <c r="L57" s="894"/>
      <c r="M57" s="955">
        <f>IFERROR(__xludf.DUMMYFUNCTION("""COMPUTED_VALUE"""),0.0)</f>
        <v>0</v>
      </c>
      <c r="N57" s="955">
        <f>IFERROR(__xludf.DUMMYFUNCTION("""COMPUTED_VALUE"""),0.0)</f>
        <v>0</v>
      </c>
      <c r="O57" s="955">
        <f>IFERROR(__xludf.DUMMYFUNCTION("""COMPUTED_VALUE"""),0.0)</f>
        <v>0</v>
      </c>
      <c r="P57" s="955">
        <f>IFERROR(__xludf.DUMMYFUNCTION("""COMPUTED_VALUE"""),0.0)</f>
        <v>0</v>
      </c>
      <c r="Q57" s="955">
        <f>IFERROR(__xludf.DUMMYFUNCTION("""COMPUTED_VALUE"""),0.0)</f>
        <v>0</v>
      </c>
      <c r="R57" s="955">
        <f>IFERROR(__xludf.DUMMYFUNCTION("""COMPUTED_VALUE"""),2.34E8)</f>
        <v>234000000</v>
      </c>
      <c r="S57" s="955">
        <f>IFERROR(__xludf.DUMMYFUNCTION("""COMPUTED_VALUE"""),0.0)</f>
        <v>0</v>
      </c>
      <c r="T57" s="955">
        <f>IFERROR(__xludf.DUMMYFUNCTION("""COMPUTED_VALUE"""),2.34E8)</f>
        <v>234000000</v>
      </c>
      <c r="U57" s="955">
        <f>IFERROR(__xludf.DUMMYFUNCTION("""COMPUTED_VALUE"""),0.0)</f>
        <v>0</v>
      </c>
      <c r="V57" s="955">
        <f>IFERROR(__xludf.DUMMYFUNCTION("""COMPUTED_VALUE"""),2.34E8)</f>
        <v>234000000</v>
      </c>
      <c r="W57" s="955">
        <f>IFERROR(__xludf.DUMMYFUNCTION("""COMPUTED_VALUE"""),0.0)</f>
        <v>0</v>
      </c>
      <c r="X57" s="956"/>
    </row>
    <row r="58">
      <c r="A58" s="822"/>
      <c r="B58" s="825"/>
      <c r="C58" s="893" t="str">
        <f>IFERROR(__xludf.DUMMYFUNCTION("""COMPUTED_VALUE"""),"Triwulan I")</f>
        <v>Triwulan I</v>
      </c>
      <c r="D58" s="825"/>
      <c r="E58" s="811" t="s">
        <v>947</v>
      </c>
      <c r="F58" s="812">
        <v>17.0</v>
      </c>
      <c r="G58" s="942" t="str">
        <f>IFERROR(__xludf.DUMMYFUNCTION("""COMPUTED_VALUE"""),"Kerjasama")</f>
        <v>Kerjasama</v>
      </c>
      <c r="H58" s="898">
        <f>IFERROR(__xludf.DUMMYFUNCTION("""COMPUTED_VALUE"""),0.0)</f>
        <v>0</v>
      </c>
      <c r="I58" s="899">
        <f>IFERROR(__xludf.DUMMYFUNCTION("""COMPUTED_VALUE"""),0.0)</f>
        <v>0</v>
      </c>
      <c r="J58" s="943" t="str">
        <f>IFERROR(__xludf.DUMMYFUNCTION("""COMPUTED_VALUE"""),"Kerjasama")</f>
        <v>Kerjasama</v>
      </c>
      <c r="K58" s="944"/>
      <c r="L58" s="894"/>
      <c r="M58" s="951" t="str">
        <f>IFERROR(__xludf.DUMMYFUNCTION("""COMPUTED_VALUE"""),"PNBP")</f>
        <v>PNBP</v>
      </c>
      <c r="N58" s="951" t="str">
        <f>IFERROR(__xludf.DUMMYFUNCTION("""COMPUTED_VALUE"""),"HIBAH")</f>
        <v>HIBAH</v>
      </c>
      <c r="O58" s="951" t="str">
        <f>IFERROR(__xludf.DUMMYFUNCTION("""COMPUTED_VALUE"""),"LISENSI")</f>
        <v>LISENSI</v>
      </c>
      <c r="P58" s="952" t="str">
        <f>IFERROR(__xludf.DUMMYFUNCTION("""COMPUTED_VALUE"""),"DALAM NEGERI")</f>
        <v>DALAM NEGERI</v>
      </c>
      <c r="Q58" s="952" t="str">
        <f>IFERROR(__xludf.DUMMYFUNCTION("""COMPUTED_VALUE"""),"LUAR NEGERI")</f>
        <v>LUAR NEGERI</v>
      </c>
      <c r="R58" s="935"/>
      <c r="S58" s="935"/>
      <c r="T58" s="935"/>
      <c r="U58" s="935"/>
      <c r="V58" s="935"/>
      <c r="W58" s="935"/>
      <c r="X58" s="935"/>
    </row>
    <row r="59">
      <c r="A59" s="822"/>
      <c r="B59" s="825"/>
      <c r="C59" s="893" t="str">
        <f>IFERROR(__xludf.DUMMYFUNCTION("""COMPUTED_VALUE"""),"Triwulan I")</f>
        <v>Triwulan I</v>
      </c>
      <c r="D59" s="825"/>
      <c r="E59" s="400"/>
      <c r="F59" s="829"/>
      <c r="G59" s="829"/>
      <c r="H59" s="829"/>
      <c r="I59" s="829"/>
      <c r="J59" s="829"/>
      <c r="K59" s="829"/>
      <c r="L59" s="894"/>
      <c r="M59" s="947">
        <f>IFERROR(__xludf.DUMMYFUNCTION("""COMPUTED_VALUE"""),0.0)</f>
        <v>0</v>
      </c>
      <c r="N59" s="947">
        <f>IFERROR(__xludf.DUMMYFUNCTION("""COMPUTED_VALUE"""),0.0)</f>
        <v>0</v>
      </c>
      <c r="O59" s="947">
        <f>IFERROR(__xludf.DUMMYFUNCTION("""COMPUTED_VALUE"""),0.0)</f>
        <v>0</v>
      </c>
      <c r="P59" s="957">
        <f>IFERROR(__xludf.DUMMYFUNCTION("""COMPUTED_VALUE"""),0.0)</f>
        <v>0</v>
      </c>
      <c r="Q59" s="957">
        <f>IFERROR(__xludf.DUMMYFUNCTION("""COMPUTED_VALUE"""),0.0)</f>
        <v>0</v>
      </c>
      <c r="R59" s="958"/>
      <c r="S59" s="958"/>
      <c r="T59" s="935"/>
      <c r="U59" s="959"/>
      <c r="V59" s="959"/>
      <c r="W59" s="959"/>
      <c r="X59" s="959"/>
    </row>
    <row r="60">
      <c r="A60" s="822"/>
      <c r="B60" s="825"/>
      <c r="C60" s="893" t="str">
        <f>IFERROR(__xludf.DUMMYFUNCTION("""COMPUTED_VALUE"""),"Triwulan I")</f>
        <v>Triwulan I</v>
      </c>
      <c r="D60" s="825"/>
      <c r="E60" s="811" t="s">
        <v>948</v>
      </c>
      <c r="F60" s="812">
        <v>26.0</v>
      </c>
      <c r="G60" s="942" t="str">
        <f>IFERROR(__xludf.DUMMYFUNCTION("""COMPUTED_VALUE"""),"Pegawai")</f>
        <v>Pegawai</v>
      </c>
      <c r="H60" s="911">
        <f>IFERROR(__xludf.DUMMYFUNCTION("""COMPUTED_VALUE"""),0.0)</f>
        <v>0</v>
      </c>
      <c r="I60" s="899">
        <f>IFERROR(__xludf.DUMMYFUNCTION("""COMPUTED_VALUE"""),0.0)</f>
        <v>0</v>
      </c>
      <c r="J60" s="943" t="str">
        <f>IFERROR(__xludf.DUMMYFUNCTION("""COMPUTED_VALUE"""),"Pegawai")</f>
        <v>Pegawai</v>
      </c>
      <c r="K60" s="944"/>
      <c r="L60" s="894"/>
      <c r="M60" s="951" t="str">
        <f>IFERROR(__xludf.DUMMYFUNCTION("""COMPUTED_VALUE"""),"S2")</f>
        <v>S2</v>
      </c>
      <c r="N60" s="951" t="str">
        <f>IFERROR(__xludf.DUMMYFUNCTION("""COMPUTED_VALUE"""),"S3")</f>
        <v>S3</v>
      </c>
      <c r="O60" s="952" t="str">
        <f>IFERROR(__xludf.DUMMYFUNCTION("""COMPUTED_VALUE"""),"IJIN BELAJAR")</f>
        <v>IJIN BELAJAR</v>
      </c>
      <c r="P60" s="960" t="str">
        <f>IFERROR(__xludf.DUMMYFUNCTION("""COMPUTED_VALUE"""),"TUGAS BELAJAR")</f>
        <v>TUGAS BELAJAR</v>
      </c>
      <c r="Q60" s="959"/>
      <c r="R60" s="959"/>
      <c r="S60" s="959"/>
      <c r="T60" s="959"/>
      <c r="U60" s="959"/>
      <c r="V60" s="959"/>
      <c r="W60" s="959"/>
      <c r="X60" s="959"/>
    </row>
    <row r="61">
      <c r="A61" s="822"/>
      <c r="B61" s="825"/>
      <c r="C61" s="893" t="str">
        <f>IFERROR(__xludf.DUMMYFUNCTION("""COMPUTED_VALUE"""),"Triwulan I")</f>
        <v>Triwulan I</v>
      </c>
      <c r="D61" s="825"/>
      <c r="E61" s="400"/>
      <c r="F61" s="829"/>
      <c r="G61" s="829"/>
      <c r="H61" s="829"/>
      <c r="I61" s="829"/>
      <c r="J61" s="829"/>
      <c r="K61" s="829"/>
      <c r="L61" s="894"/>
      <c r="M61" s="947">
        <f>IFERROR(__xludf.DUMMYFUNCTION("""COMPUTED_VALUE"""),0.0)</f>
        <v>0</v>
      </c>
      <c r="N61" s="947">
        <f>IFERROR(__xludf.DUMMYFUNCTION("""COMPUTED_VALUE"""),0.0)</f>
        <v>0</v>
      </c>
      <c r="O61" s="947">
        <f>IFERROR(__xludf.DUMMYFUNCTION("""COMPUTED_VALUE"""),0.0)</f>
        <v>0</v>
      </c>
      <c r="P61" s="947">
        <f>IFERROR(__xludf.DUMMYFUNCTION("""COMPUTED_VALUE"""),0.0)</f>
        <v>0</v>
      </c>
      <c r="Q61" s="961"/>
      <c r="R61" s="961"/>
      <c r="S61" s="959"/>
      <c r="T61" s="959"/>
      <c r="U61" s="959"/>
      <c r="V61" s="959"/>
      <c r="W61" s="959"/>
      <c r="X61" s="959"/>
    </row>
    <row r="62">
      <c r="A62" s="822"/>
      <c r="B62" s="825"/>
      <c r="C62" s="893" t="str">
        <f>IFERROR(__xludf.DUMMYFUNCTION("""COMPUTED_VALUE"""),"Triwulan I")</f>
        <v>Triwulan I</v>
      </c>
      <c r="D62" s="825"/>
      <c r="E62" s="811" t="s">
        <v>949</v>
      </c>
      <c r="F62" s="812">
        <v>5.0</v>
      </c>
      <c r="G62" s="942" t="str">
        <f>IFERROR(__xludf.DUMMYFUNCTION("""COMPUTED_VALUE"""),"Peserta")</f>
        <v>Peserta</v>
      </c>
      <c r="H62" s="911">
        <f>IFERROR(__xludf.DUMMYFUNCTION("""COMPUTED_VALUE"""),0.0)</f>
        <v>0</v>
      </c>
      <c r="I62" s="899">
        <f>IFERROR(__xludf.DUMMYFUNCTION("""COMPUTED_VALUE"""),0.0)</f>
        <v>0</v>
      </c>
      <c r="J62" s="943" t="str">
        <f>IFERROR(__xludf.DUMMYFUNCTION("""COMPUTED_VALUE"""),"Peserta")</f>
        <v>Peserta</v>
      </c>
      <c r="K62" s="944"/>
      <c r="L62" s="894"/>
      <c r="M62" s="948" t="str">
        <f>IFERROR(__xludf.DUMMYFUNCTION("""COMPUTED_VALUE"""),"POSTDOCTORAL")</f>
        <v>POSTDOCTORAL</v>
      </c>
      <c r="N62" s="829"/>
      <c r="O62" s="948" t="str">
        <f>IFERROR(__xludf.DUMMYFUNCTION("""COMPUTED_VALUE"""),"VISITING RESEARCH")</f>
        <v>VISITING RESEARCH</v>
      </c>
      <c r="P62" s="829"/>
      <c r="Q62" s="962" t="str">
        <f>IFERROR(__xludf.DUMMYFUNCTION("""COMPUTED_VALUE"""),"PUBLIKASI")</f>
        <v>PUBLIKASI</v>
      </c>
      <c r="R62" s="829"/>
      <c r="S62" s="959"/>
      <c r="T62" s="959"/>
      <c r="U62" s="959"/>
      <c r="V62" s="959"/>
      <c r="W62" s="959"/>
      <c r="X62" s="959"/>
    </row>
    <row r="63">
      <c r="A63" s="822"/>
      <c r="B63" s="825"/>
      <c r="C63" s="893" t="str">
        <f>IFERROR(__xludf.DUMMYFUNCTION("""COMPUTED_VALUE"""),"Triwulan I")</f>
        <v>Triwulan I</v>
      </c>
      <c r="D63" s="825"/>
      <c r="E63" s="823"/>
      <c r="F63" s="825"/>
      <c r="G63" s="825"/>
      <c r="H63" s="825"/>
      <c r="I63" s="825"/>
      <c r="J63" s="825"/>
      <c r="K63" s="825"/>
      <c r="L63" s="894"/>
      <c r="M63" s="946" t="str">
        <f>IFERROR(__xludf.DUMMYFUNCTION("""COMPUTED_VALUE"""),"Dalam Negeri")</f>
        <v>Dalam Negeri</v>
      </c>
      <c r="N63" s="946" t="str">
        <f>IFERROR(__xludf.DUMMYFUNCTION("""COMPUTED_VALUE"""),"Luar Negeri")</f>
        <v>Luar Negeri</v>
      </c>
      <c r="O63" s="946" t="str">
        <f>IFERROR(__xludf.DUMMYFUNCTION("""COMPUTED_VALUE"""),"Dalam Negeri")</f>
        <v>Dalam Negeri</v>
      </c>
      <c r="P63" s="946" t="str">
        <f>IFERROR(__xludf.DUMMYFUNCTION("""COMPUTED_VALUE"""),"Luar Negeri")</f>
        <v>Luar Negeri</v>
      </c>
      <c r="Q63" s="963" t="str">
        <f>IFERROR(__xludf.DUMMYFUNCTION("""COMPUTED_VALUE"""),"Dalam Negeri")</f>
        <v>Dalam Negeri</v>
      </c>
      <c r="R63" s="963" t="str">
        <f>IFERROR(__xludf.DUMMYFUNCTION("""COMPUTED_VALUE"""),"Luar Negeri")</f>
        <v>Luar Negeri</v>
      </c>
      <c r="S63" s="959"/>
      <c r="T63" s="959"/>
      <c r="U63" s="959"/>
      <c r="V63" s="959"/>
      <c r="W63" s="959"/>
      <c r="X63" s="959"/>
    </row>
    <row r="64">
      <c r="A64" s="822"/>
      <c r="B64" s="825"/>
      <c r="C64" s="893" t="str">
        <f>IFERROR(__xludf.DUMMYFUNCTION("""COMPUTED_VALUE"""),"Triwulan I")</f>
        <v>Triwulan I</v>
      </c>
      <c r="D64" s="875"/>
      <c r="E64" s="874"/>
      <c r="F64" s="863"/>
      <c r="G64" s="875"/>
      <c r="H64" s="875"/>
      <c r="I64" s="875"/>
      <c r="J64" s="875"/>
      <c r="K64" s="875"/>
      <c r="L64" s="915"/>
      <c r="M64" s="964">
        <f>IFERROR(__xludf.DUMMYFUNCTION("""COMPUTED_VALUE"""),0.0)</f>
        <v>0</v>
      </c>
      <c r="N64" s="964">
        <f>IFERROR(__xludf.DUMMYFUNCTION("""COMPUTED_VALUE"""),0.0)</f>
        <v>0</v>
      </c>
      <c r="O64" s="964">
        <f>IFERROR(__xludf.DUMMYFUNCTION("""COMPUTED_VALUE"""),0.0)</f>
        <v>0</v>
      </c>
      <c r="P64" s="964">
        <f>IFERROR(__xludf.DUMMYFUNCTION("""COMPUTED_VALUE"""),0.0)</f>
        <v>0</v>
      </c>
      <c r="Q64" s="964">
        <f>IFERROR(__xludf.DUMMYFUNCTION("""COMPUTED_VALUE"""),0.0)</f>
        <v>0</v>
      </c>
      <c r="R64" s="964">
        <f>IFERROR(__xludf.DUMMYFUNCTION("""COMPUTED_VALUE"""),0.0)</f>
        <v>0</v>
      </c>
      <c r="S64" s="959"/>
      <c r="T64" s="959"/>
      <c r="U64" s="959"/>
      <c r="V64" s="959"/>
      <c r="W64" s="959"/>
      <c r="X64" s="959"/>
    </row>
    <row r="65">
      <c r="A65" s="822"/>
      <c r="B65" s="825"/>
      <c r="C65" s="893" t="str">
        <f>IFERROR(__xludf.DUMMYFUNCTION("""COMPUTED_VALUE"""),"Triwulan I")</f>
        <v>Triwulan I</v>
      </c>
      <c r="D65" s="917" t="str">
        <f>IFERROR(__xludf.DUMMYFUNCTION("""COMPUTED_VALUE"""),"Capaian Lainnya")</f>
        <v>Capaian Lainnya</v>
      </c>
      <c r="E65" s="867" t="s">
        <v>950</v>
      </c>
      <c r="F65" s="868"/>
      <c r="G65" s="965" t="str">
        <f>IFERROR(__xludf.DUMMYFUNCTION("""COMPUTED_VALUE"""),"Sitasi")</f>
        <v>Sitasi</v>
      </c>
      <c r="H65" s="919">
        <f>IFERROR(__xludf.DUMMYFUNCTION("""COMPUTED_VALUE"""),273.0)</f>
        <v>273</v>
      </c>
      <c r="I65" s="966"/>
      <c r="J65" s="967" t="str">
        <f>IFERROR(__xludf.DUMMYFUNCTION("""COMPUTED_VALUE"""),"Sitasi")</f>
        <v>Sitasi</v>
      </c>
      <c r="K65" s="968"/>
      <c r="L65" s="969"/>
      <c r="M65" s="951" t="str">
        <f>IFERROR(__xludf.DUMMYFUNCTION("""COMPUTED_VALUE"""),"DOK PUBLISHED")</f>
        <v>DOK PUBLISHED</v>
      </c>
      <c r="N65" s="951" t="str">
        <f>IFERROR(__xludf.DUMMYFUNCTION("""COMPUTED_VALUE"""),"SITASI")</f>
        <v>SITASI</v>
      </c>
      <c r="O65" s="959"/>
      <c r="P65" s="959"/>
      <c r="Q65" s="959"/>
      <c r="R65" s="959"/>
      <c r="S65" s="959"/>
      <c r="T65" s="959"/>
      <c r="U65" s="959"/>
      <c r="V65" s="959"/>
      <c r="W65" s="959"/>
      <c r="X65" s="959"/>
    </row>
    <row r="66">
      <c r="A66" s="822"/>
      <c r="B66" s="825"/>
      <c r="C66" s="893" t="str">
        <f>IFERROR(__xludf.DUMMYFUNCTION("""COMPUTED_VALUE"""),"Triwulan I")</f>
        <v>Triwulan I</v>
      </c>
      <c r="D66" s="825"/>
      <c r="E66" s="874"/>
      <c r="F66" s="875"/>
      <c r="G66" s="875"/>
      <c r="H66" s="875"/>
      <c r="I66" s="875"/>
      <c r="J66" s="875"/>
      <c r="K66" s="875"/>
      <c r="L66" s="894"/>
      <c r="M66" s="947">
        <f>IFERROR(__xludf.DUMMYFUNCTION("""COMPUTED_VALUE"""),0.0)</f>
        <v>0</v>
      </c>
      <c r="N66" s="947">
        <f>IFERROR(__xludf.DUMMYFUNCTION("""COMPUTED_VALUE"""),0.0)</f>
        <v>0</v>
      </c>
      <c r="O66" s="959"/>
      <c r="P66" s="959"/>
      <c r="Q66" s="959"/>
      <c r="R66" s="959"/>
      <c r="S66" s="959"/>
      <c r="T66" s="959"/>
      <c r="U66" s="959"/>
      <c r="V66" s="959"/>
      <c r="W66" s="959"/>
      <c r="X66" s="959"/>
    </row>
    <row r="67">
      <c r="A67" s="822"/>
      <c r="B67" s="825"/>
      <c r="C67" s="893" t="str">
        <f>IFERROR(__xludf.DUMMYFUNCTION("""COMPUTED_VALUE"""),"Triwulan I")</f>
        <v>Triwulan I</v>
      </c>
      <c r="D67" s="825"/>
      <c r="E67" s="867" t="s">
        <v>951</v>
      </c>
      <c r="F67" s="868"/>
      <c r="G67" s="970" t="str">
        <f>IFERROR(__xludf.DUMMYFUNCTION("""COMPUTED_VALUE"""),"Publikasi Nasional")</f>
        <v>Publikasi Nasional</v>
      </c>
      <c r="H67" s="925">
        <f>IFERROR(__xludf.DUMMYFUNCTION("""COMPUTED_VALUE"""),0.0)</f>
        <v>0</v>
      </c>
      <c r="I67" s="971"/>
      <c r="J67" s="972" t="str">
        <f>IFERROR(__xludf.DUMMYFUNCTION("""COMPUTED_VALUE"""),"Publikasi Nasional")</f>
        <v>Publikasi Nasional</v>
      </c>
      <c r="K67" s="925"/>
      <c r="L67" s="894"/>
      <c r="M67" s="959"/>
      <c r="N67" s="959"/>
      <c r="O67" s="959"/>
      <c r="P67" s="959"/>
      <c r="Q67" s="959"/>
      <c r="R67" s="959"/>
      <c r="S67" s="959"/>
      <c r="T67" s="959"/>
      <c r="U67" s="959"/>
      <c r="V67" s="959"/>
      <c r="W67" s="959"/>
      <c r="X67" s="959"/>
    </row>
    <row r="68">
      <c r="A68" s="673"/>
      <c r="B68" s="881"/>
      <c r="C68" s="893" t="str">
        <f>IFERROR(__xludf.DUMMYFUNCTION("""COMPUTED_VALUE"""),"Triwulan I")</f>
        <v>Triwulan I</v>
      </c>
      <c r="D68" s="881"/>
      <c r="E68" s="674"/>
      <c r="F68" s="881"/>
      <c r="G68" s="881"/>
      <c r="H68" s="881"/>
      <c r="I68" s="881"/>
      <c r="J68" s="881"/>
      <c r="K68" s="881"/>
      <c r="L68" s="930"/>
      <c r="M68" s="959"/>
      <c r="N68" s="959"/>
      <c r="O68" s="959"/>
      <c r="P68" s="959"/>
      <c r="Q68" s="959"/>
      <c r="R68" s="959"/>
      <c r="S68" s="959"/>
      <c r="T68" s="959"/>
      <c r="U68" s="959"/>
      <c r="V68" s="959"/>
      <c r="W68" s="959"/>
      <c r="X68" s="959"/>
    </row>
    <row r="69">
      <c r="A69" s="807">
        <f>IFERROR(__xludf.DUMMYFUNCTION("""COMPUTED_VALUE"""),4.0)</f>
        <v>4</v>
      </c>
      <c r="B69" s="808" t="str">
        <f>IFERROR(__xludf.DUMMYFUNCTION("""COMPUTED_VALUE"""),"April")</f>
        <v>April</v>
      </c>
      <c r="C69" s="809" t="str">
        <f>IFERROR(__xludf.DUMMYFUNCTION("""COMPUTED_VALUE"""),"April")</f>
        <v>April</v>
      </c>
      <c r="D69" s="810" t="str">
        <f>IFERROR(__xludf.DUMMYFUNCTION("""COMPUTED_VALUE"""),"Terselenggaranya riset dan inovasi di bidang elektronikan dan informatika")</f>
        <v>Terselenggaranya riset dan inovasi di bidang elektronikan dan informatika</v>
      </c>
      <c r="E69" s="811" t="s">
        <v>943</v>
      </c>
      <c r="F69" s="812">
        <v>2.0</v>
      </c>
      <c r="G69" s="813" t="str">
        <f>IFERROR(__xludf.DUMMYFUNCTION("""COMPUTED_VALUE"""),"Purwarupa")</f>
        <v>Purwarupa</v>
      </c>
      <c r="H69" s="814">
        <f>IFERROR(__xludf.DUMMYFUNCTION("""COMPUTED_VALUE"""),0.0)</f>
        <v>0</v>
      </c>
      <c r="I69" s="815">
        <f>IFERROR(__xludf.DUMMYFUNCTION("""COMPUTED_VALUE"""),0.0)</f>
        <v>0</v>
      </c>
      <c r="J69" s="816" t="str">
        <f>IFERROR(__xludf.DUMMYFUNCTION("""COMPUTED_VALUE"""),"Purwarupa")</f>
        <v>Purwarupa</v>
      </c>
      <c r="K69" s="817"/>
      <c r="L69" s="818">
        <f>IFERROR(__xludf.DUMMYFUNCTION("""COMPUTED_VALUE"""),0.04733766233766234)</f>
        <v>0.04733766234</v>
      </c>
      <c r="M69" s="819" t="str">
        <f>IFERROR(__xludf.DUMMYFUNCTION("""COMPUTED_VALUE"""),"HARDWARE PROTOTYPE")</f>
        <v>HARDWARE PROTOTYPE</v>
      </c>
      <c r="N69" s="820"/>
      <c r="O69" s="819" t="str">
        <f>IFERROR(__xludf.DUMMYFUNCTION("""COMPUTED_VALUE"""),"SOFTWARE PROTOTYPE")</f>
        <v>SOFTWARE PROTOTYPE</v>
      </c>
      <c r="P69" s="820"/>
      <c r="Q69" s="819" t="str">
        <f>IFERROR(__xludf.DUMMYFUNCTION("""COMPUTED_VALUE"""),"DESAIN PROTOTYPE")</f>
        <v>DESAIN PROTOTYPE</v>
      </c>
      <c r="R69" s="820"/>
      <c r="S69" s="821"/>
      <c r="T69" s="821"/>
      <c r="U69" s="821"/>
      <c r="V69" s="821"/>
      <c r="W69" s="821"/>
      <c r="X69" s="821"/>
    </row>
    <row r="70">
      <c r="A70" s="822"/>
      <c r="B70" s="823"/>
      <c r="C70" s="824" t="str">
        <f>IFERROR(__xludf.DUMMYFUNCTION("""COMPUTED_VALUE"""),"Mei")</f>
        <v>Mei</v>
      </c>
      <c r="D70" s="823"/>
      <c r="E70" s="823"/>
      <c r="F70" s="825"/>
      <c r="G70" s="823"/>
      <c r="I70" s="823"/>
      <c r="J70" s="823"/>
      <c r="K70" s="823"/>
      <c r="L70" s="826"/>
      <c r="M70" s="827" t="str">
        <f>IFERROR(__xludf.DUMMYFUNCTION("""COMPUTED_VALUE"""),"Selesai")</f>
        <v>Selesai</v>
      </c>
      <c r="N70" s="827" t="str">
        <f>IFERROR(__xludf.DUMMYFUNCTION("""COMPUTED_VALUE"""),"Skala Uji Lab")</f>
        <v>Skala Uji Lab</v>
      </c>
      <c r="O70" s="827" t="str">
        <f>IFERROR(__xludf.DUMMYFUNCTION("""COMPUTED_VALUE"""),"Selesai")</f>
        <v>Selesai</v>
      </c>
      <c r="P70" s="827" t="str">
        <f>IFERROR(__xludf.DUMMYFUNCTION("""COMPUTED_VALUE"""),"Skala Uji Lab")</f>
        <v>Skala Uji Lab</v>
      </c>
      <c r="Q70" s="827" t="str">
        <f>IFERROR(__xludf.DUMMYFUNCTION("""COMPUTED_VALUE"""),"Selesai")</f>
        <v>Selesai</v>
      </c>
      <c r="R70" s="827" t="str">
        <f>IFERROR(__xludf.DUMMYFUNCTION("""COMPUTED_VALUE"""),"Skala Uji Lab")</f>
        <v>Skala Uji Lab</v>
      </c>
      <c r="S70" s="828"/>
      <c r="T70" s="828"/>
      <c r="U70" s="828"/>
      <c r="V70" s="828"/>
      <c r="W70" s="828"/>
      <c r="X70" s="828"/>
    </row>
    <row r="71">
      <c r="A71" s="822"/>
      <c r="B71" s="823"/>
      <c r="C71" s="824" t="str">
        <f>IFERROR(__xludf.DUMMYFUNCTION("""COMPUTED_VALUE"""),"Juni")</f>
        <v>Juni</v>
      </c>
      <c r="D71" s="823"/>
      <c r="E71" s="400"/>
      <c r="F71" s="829"/>
      <c r="G71" s="400"/>
      <c r="I71" s="400"/>
      <c r="J71" s="400"/>
      <c r="K71" s="400"/>
      <c r="L71" s="826"/>
      <c r="M71" s="830">
        <f>IFERROR(__xludf.DUMMYFUNCTION("""COMPUTED_VALUE"""),0.0)</f>
        <v>0</v>
      </c>
      <c r="N71" s="830">
        <f>IFERROR(__xludf.DUMMYFUNCTION("""COMPUTED_VALUE"""),0.0)</f>
        <v>0</v>
      </c>
      <c r="O71" s="830">
        <f>IFERROR(__xludf.DUMMYFUNCTION("""COMPUTED_VALUE"""),0.0)</f>
        <v>0</v>
      </c>
      <c r="P71" s="830">
        <f>IFERROR(__xludf.DUMMYFUNCTION("""COMPUTED_VALUE"""),0.0)</f>
        <v>0</v>
      </c>
      <c r="Q71" s="830">
        <f>IFERROR(__xludf.DUMMYFUNCTION("""COMPUTED_VALUE"""),0.0)</f>
        <v>0</v>
      </c>
      <c r="R71" s="830">
        <f>IFERROR(__xludf.DUMMYFUNCTION("""COMPUTED_VALUE"""),0.0)</f>
        <v>0</v>
      </c>
      <c r="S71" s="828"/>
      <c r="T71" s="828"/>
      <c r="U71" s="828"/>
      <c r="V71" s="828"/>
      <c r="W71" s="828"/>
      <c r="X71" s="828"/>
    </row>
    <row r="72">
      <c r="A72" s="822"/>
      <c r="B72" s="823"/>
      <c r="C72" s="831" t="str">
        <f>IFERROR(__xludf.DUMMYFUNCTION("""COMPUTED_VALUE"""),"Juli")</f>
        <v>Juli</v>
      </c>
      <c r="D72" s="823"/>
      <c r="E72" s="811" t="s">
        <v>944</v>
      </c>
      <c r="F72" s="812">
        <v>80.0</v>
      </c>
      <c r="G72" s="832" t="str">
        <f>IFERROR(__xludf.DUMMYFUNCTION("""COMPUTED_VALUE"""),"Publikasi Internasional")</f>
        <v>Publikasi Internasional</v>
      </c>
      <c r="H72" s="833">
        <f>IFERROR(__xludf.DUMMYFUNCTION("""COMPUTED_VALUE"""),18.0)</f>
        <v>18</v>
      </c>
      <c r="I72" s="834">
        <f>IFERROR(__xludf.DUMMYFUNCTION("""COMPUTED_VALUE"""),0.225)</f>
        <v>0.225</v>
      </c>
      <c r="J72" s="835" t="str">
        <f>IFERROR(__xludf.DUMMYFUNCTION("""COMPUTED_VALUE"""),"Publikasi Internasional")</f>
        <v>Publikasi Internasional</v>
      </c>
      <c r="K72" s="836"/>
      <c r="L72" s="826"/>
      <c r="M72" s="819" t="str">
        <f>IFERROR(__xludf.DUMMYFUNCTION("""COMPUTED_VALUE"""),"JURNAL")</f>
        <v>JURNAL</v>
      </c>
      <c r="N72" s="820"/>
      <c r="O72" s="837" t="str">
        <f>IFERROR(__xludf.DUMMYFUNCTION("""COMPUTED_VALUE"""),"PHROSIDING")</f>
        <v>PHROSIDING</v>
      </c>
      <c r="P72" s="820"/>
      <c r="Q72" s="837" t="str">
        <f>IFERROR(__xludf.DUMMYFUNCTION("""COMPUTED_VALUE"""),"BUKU")</f>
        <v>BUKU</v>
      </c>
      <c r="R72" s="820"/>
      <c r="S72" s="837" t="str">
        <f>IFERROR(__xludf.DUMMYFUNCTION("""COMPUTED_VALUE"""),"BAGIAN BUKU")</f>
        <v>BAGIAN BUKU</v>
      </c>
      <c r="T72" s="820"/>
      <c r="U72" s="828"/>
      <c r="V72" s="828"/>
      <c r="W72" s="828"/>
      <c r="X72" s="828"/>
    </row>
    <row r="73">
      <c r="A73" s="822"/>
      <c r="B73" s="823"/>
      <c r="C73" s="831" t="str">
        <f>IFERROR(__xludf.DUMMYFUNCTION("""COMPUTED_VALUE"""),"Agustus")</f>
        <v>Agustus</v>
      </c>
      <c r="D73" s="823"/>
      <c r="E73" s="823"/>
      <c r="F73" s="825"/>
      <c r="G73" s="823"/>
      <c r="H73" s="823"/>
      <c r="I73" s="823"/>
      <c r="J73" s="823"/>
      <c r="K73" s="823"/>
      <c r="L73" s="826"/>
      <c r="M73" s="827" t="str">
        <f>IFERROR(__xludf.DUMMYFUNCTION("""COMPUTED_VALUE"""),"Published")</f>
        <v>Published</v>
      </c>
      <c r="N73" s="827" t="str">
        <f>IFERROR(__xludf.DUMMYFUNCTION("""COMPUTED_VALUE"""),"Accepted")</f>
        <v>Accepted</v>
      </c>
      <c r="O73" s="838" t="str">
        <f>IFERROR(__xludf.DUMMYFUNCTION("""COMPUTED_VALUE"""),"Published")</f>
        <v>Published</v>
      </c>
      <c r="P73" s="838" t="str">
        <f>IFERROR(__xludf.DUMMYFUNCTION("""COMPUTED_VALUE"""),"Accepted")</f>
        <v>Accepted</v>
      </c>
      <c r="Q73" s="838" t="str">
        <f>IFERROR(__xludf.DUMMYFUNCTION("""COMPUTED_VALUE"""),"Published")</f>
        <v>Published</v>
      </c>
      <c r="R73" s="838" t="str">
        <f>IFERROR(__xludf.DUMMYFUNCTION("""COMPUTED_VALUE"""),"Accepted")</f>
        <v>Accepted</v>
      </c>
      <c r="S73" s="838" t="str">
        <f>IFERROR(__xludf.DUMMYFUNCTION("""COMPUTED_VALUE"""),"Published")</f>
        <v>Published</v>
      </c>
      <c r="T73" s="838" t="str">
        <f>IFERROR(__xludf.DUMMYFUNCTION("""COMPUTED_VALUE"""),"Accepted")</f>
        <v>Accepted</v>
      </c>
      <c r="U73" s="839"/>
      <c r="V73" s="839"/>
      <c r="W73" s="839"/>
      <c r="X73" s="839"/>
    </row>
    <row r="74">
      <c r="A74" s="822"/>
      <c r="B74" s="823"/>
      <c r="C74" s="831" t="str">
        <f>IFERROR(__xludf.DUMMYFUNCTION("""COMPUTED_VALUE"""),"September")</f>
        <v>September</v>
      </c>
      <c r="D74" s="823"/>
      <c r="E74" s="400"/>
      <c r="F74" s="829"/>
      <c r="G74" s="400"/>
      <c r="H74" s="400"/>
      <c r="I74" s="400"/>
      <c r="J74" s="400"/>
      <c r="K74" s="400"/>
      <c r="L74" s="826"/>
      <c r="M74" s="840">
        <f>IFERROR(__xludf.DUMMYFUNCTION("""COMPUTED_VALUE"""),15.0)</f>
        <v>15</v>
      </c>
      <c r="N74" s="841">
        <f>IFERROR(__xludf.DUMMYFUNCTION("""COMPUTED_VALUE"""),0.0)</f>
        <v>0</v>
      </c>
      <c r="O74" s="841">
        <f>IFERROR(__xludf.DUMMYFUNCTION("""COMPUTED_VALUE"""),3.0)</f>
        <v>3</v>
      </c>
      <c r="P74" s="841">
        <f>IFERROR(__xludf.DUMMYFUNCTION("""COMPUTED_VALUE"""),0.0)</f>
        <v>0</v>
      </c>
      <c r="Q74" s="841">
        <f>IFERROR(__xludf.DUMMYFUNCTION("""COMPUTED_VALUE"""),0.0)</f>
        <v>0</v>
      </c>
      <c r="R74" s="841">
        <f>IFERROR(__xludf.DUMMYFUNCTION("""COMPUTED_VALUE"""),0.0)</f>
        <v>0</v>
      </c>
      <c r="S74" s="841">
        <f>IFERROR(__xludf.DUMMYFUNCTION("""COMPUTED_VALUE"""),0.0)</f>
        <v>0</v>
      </c>
      <c r="T74" s="841">
        <f>IFERROR(__xludf.DUMMYFUNCTION("""COMPUTED_VALUE"""),0.0)</f>
        <v>0</v>
      </c>
      <c r="U74" s="842"/>
      <c r="V74" s="842"/>
      <c r="W74" s="842"/>
      <c r="X74" s="842"/>
    </row>
    <row r="75">
      <c r="A75" s="822"/>
      <c r="B75" s="823"/>
      <c r="C75" s="831" t="str">
        <f>IFERROR(__xludf.DUMMYFUNCTION("""COMPUTED_VALUE"""),"Oktober")</f>
        <v>Oktober</v>
      </c>
      <c r="D75" s="823"/>
      <c r="E75" s="811" t="s">
        <v>945</v>
      </c>
      <c r="F75" s="812">
        <v>24.0</v>
      </c>
      <c r="G75" s="832" t="str">
        <f>IFERROR(__xludf.DUMMYFUNCTION("""COMPUTED_VALUE"""),"Kekayaan Intelektual")</f>
        <v>Kekayaan Intelektual</v>
      </c>
      <c r="H75" s="833">
        <f>IFERROR(__xludf.DUMMYFUNCTION("""COMPUTED_VALUE"""),0.0)</f>
        <v>0</v>
      </c>
      <c r="I75" s="834">
        <f>IFERROR(__xludf.DUMMYFUNCTION("""COMPUTED_VALUE"""),0.0)</f>
        <v>0</v>
      </c>
      <c r="J75" s="835" t="str">
        <f>IFERROR(__xludf.DUMMYFUNCTION("""COMPUTED_VALUE"""),"Kekayaan Intelektual")</f>
        <v>Kekayaan Intelektual</v>
      </c>
      <c r="K75" s="836"/>
      <c r="L75" s="826"/>
      <c r="M75" s="843" t="str">
        <f>IFERROR(__xludf.DUMMYFUNCTION("""COMPUTED_VALUE"""),"PATEN")</f>
        <v>PATEN</v>
      </c>
      <c r="N75" s="829"/>
      <c r="O75" s="843" t="str">
        <f>IFERROR(__xludf.DUMMYFUNCTION("""COMPUTED_VALUE"""),"HAK CIPTA")</f>
        <v>HAK CIPTA</v>
      </c>
      <c r="P75" s="829"/>
      <c r="Q75" s="843" t="str">
        <f>IFERROR(__xludf.DUMMYFUNCTION("""COMPUTED_VALUE"""),"DESAIN INDUSTRI")</f>
        <v>DESAIN INDUSTRI</v>
      </c>
      <c r="R75" s="829"/>
      <c r="S75" s="844"/>
      <c r="U75" s="844"/>
      <c r="V75" s="844"/>
      <c r="W75" s="844"/>
      <c r="X75" s="844"/>
    </row>
    <row r="76">
      <c r="A76" s="822"/>
      <c r="B76" s="823"/>
      <c r="C76" s="831" t="str">
        <f>IFERROR(__xludf.DUMMYFUNCTION("""COMPUTED_VALUE"""),"November")</f>
        <v>November</v>
      </c>
      <c r="D76" s="823"/>
      <c r="E76" s="823"/>
      <c r="F76" s="825"/>
      <c r="G76" s="823"/>
      <c r="H76" s="823"/>
      <c r="I76" s="823"/>
      <c r="J76" s="823"/>
      <c r="K76" s="823"/>
      <c r="L76" s="826"/>
      <c r="M76" s="845" t="str">
        <f>IFERROR(__xludf.DUMMYFUNCTION("""COMPUTED_VALUE"""),"Terdaftar DJKI")</f>
        <v>Terdaftar DJKI</v>
      </c>
      <c r="N76" s="845" t="str">
        <f>IFERROR(__xludf.DUMMYFUNCTION("""COMPUTED_VALUE"""),"Tersertifikasi")</f>
        <v>Tersertifikasi</v>
      </c>
      <c r="O76" s="845" t="str">
        <f>IFERROR(__xludf.DUMMYFUNCTION("""COMPUTED_VALUE"""),"Terdaftar DJKI")</f>
        <v>Terdaftar DJKI</v>
      </c>
      <c r="P76" s="845" t="str">
        <f>IFERROR(__xludf.DUMMYFUNCTION("""COMPUTED_VALUE"""),"Tersertifikasi")</f>
        <v>Tersertifikasi</v>
      </c>
      <c r="Q76" s="845" t="str">
        <f>IFERROR(__xludf.DUMMYFUNCTION("""COMPUTED_VALUE"""),"Terdaftar DJKI")</f>
        <v>Terdaftar DJKI</v>
      </c>
      <c r="R76" s="845" t="str">
        <f>IFERROR(__xludf.DUMMYFUNCTION("""COMPUTED_VALUE"""),"Tersertifikasi")</f>
        <v>Tersertifikasi</v>
      </c>
      <c r="S76" s="842"/>
      <c r="T76" s="842"/>
      <c r="U76" s="842"/>
      <c r="V76" s="842"/>
      <c r="W76" s="842"/>
      <c r="X76" s="842"/>
    </row>
    <row r="77">
      <c r="A77" s="822"/>
      <c r="B77" s="823"/>
      <c r="C77" s="831" t="str">
        <f>IFERROR(__xludf.DUMMYFUNCTION("""COMPUTED_VALUE"""),"Desember")</f>
        <v>Desember</v>
      </c>
      <c r="D77" s="823"/>
      <c r="E77" s="400"/>
      <c r="F77" s="829"/>
      <c r="G77" s="400"/>
      <c r="H77" s="400"/>
      <c r="I77" s="400"/>
      <c r="J77" s="400"/>
      <c r="K77" s="400"/>
      <c r="L77" s="826"/>
      <c r="M77" s="830">
        <f>IFERROR(__xludf.DUMMYFUNCTION("""COMPUTED_VALUE"""),0.0)</f>
        <v>0</v>
      </c>
      <c r="N77" s="830">
        <f>IFERROR(__xludf.DUMMYFUNCTION("""COMPUTED_VALUE"""),0.0)</f>
        <v>0</v>
      </c>
      <c r="O77" s="830">
        <f>IFERROR(__xludf.DUMMYFUNCTION("""COMPUTED_VALUE"""),0.0)</f>
        <v>0</v>
      </c>
      <c r="P77" s="830">
        <f>IFERROR(__xludf.DUMMYFUNCTION("""COMPUTED_VALUE"""),0.0)</f>
        <v>0</v>
      </c>
      <c r="Q77" s="830">
        <f>IFERROR(__xludf.DUMMYFUNCTION("""COMPUTED_VALUE"""),0.0)</f>
        <v>0</v>
      </c>
      <c r="R77" s="830">
        <f>IFERROR(__xludf.DUMMYFUNCTION("""COMPUTED_VALUE"""),0.0)</f>
        <v>0</v>
      </c>
      <c r="S77" s="846"/>
      <c r="T77" s="842"/>
      <c r="U77" s="842"/>
      <c r="V77" s="842"/>
      <c r="W77" s="842"/>
      <c r="X77" s="842"/>
    </row>
    <row r="78">
      <c r="A78" s="822"/>
      <c r="B78" s="823"/>
      <c r="C78" s="831" t="str">
        <f>IFERROR(__xludf.DUMMYFUNCTION("""COMPUTED_VALUE"""),"Januari")</f>
        <v>Januari</v>
      </c>
      <c r="D78" s="823"/>
      <c r="E78" s="811" t="s">
        <v>946</v>
      </c>
      <c r="F78" s="847">
        <v>2.2E9</v>
      </c>
      <c r="G78" s="832" t="str">
        <f>IFERROR(__xludf.DUMMYFUNCTION("""COMPUTED_VALUE"""),"Rupiah")</f>
        <v>Rupiah</v>
      </c>
      <c r="H78" s="848">
        <f>IFERROR(__xludf.DUMMYFUNCTION("""COMPUTED_VALUE"""),2.34E8)</f>
        <v>234000000</v>
      </c>
      <c r="I78" s="834">
        <f>IFERROR(__xludf.DUMMYFUNCTION("""COMPUTED_VALUE"""),0.10636363636363637)</f>
        <v>0.1063636364</v>
      </c>
      <c r="J78" s="835" t="str">
        <f>IFERROR(__xludf.DUMMYFUNCTION("""COMPUTED_VALUE"""),"Rupiah")</f>
        <v>Rupiah</v>
      </c>
      <c r="K78" s="836"/>
      <c r="L78" s="826"/>
      <c r="M78" s="849" t="str">
        <f>IFERROR(__xludf.DUMMYFUNCTION("""COMPUTED_VALUE"""),"PNBP")</f>
        <v>PNBP</v>
      </c>
      <c r="N78" s="849" t="str">
        <f>IFERROR(__xludf.DUMMYFUNCTION("""COMPUTED_VALUE"""),"HIBAH")</f>
        <v>HIBAH</v>
      </c>
      <c r="O78" s="849" t="str">
        <f>IFERROR(__xludf.DUMMYFUNCTION("""COMPUTED_VALUE"""),"MITRA/UNV")</f>
        <v>MITRA/UNV</v>
      </c>
      <c r="P78" s="849" t="str">
        <f>IFERROR(__xludf.DUMMYFUNCTION("""COMPUTED_VALUE"""),"POSTDOC")</f>
        <v>POSTDOC</v>
      </c>
      <c r="Q78" s="849" t="str">
        <f>IFERROR(__xludf.DUMMYFUNCTION("""COMPUTED_VALUE"""),"VISITING RSRCH")</f>
        <v>VISITING RSRCH</v>
      </c>
      <c r="R78" s="849" t="str">
        <f>IFERROR(__xludf.DUMMYFUNCTION("""COMPUTED_VALUE"""),"RIMM")</f>
        <v>RIMM</v>
      </c>
      <c r="S78" s="849" t="str">
        <f>IFERROR(__xludf.DUMMYFUNCTION("""COMPUTED_VALUE"""),"LISENSI")</f>
        <v>LISENSI</v>
      </c>
      <c r="T78" s="850" t="str">
        <f>IFERROR(__xludf.DUMMYFUNCTION("""COMPUTED_VALUE"""),"DALAM NEGERI")</f>
        <v>DALAM NEGERI</v>
      </c>
      <c r="U78" s="851" t="str">
        <f>IFERROR(__xludf.DUMMYFUNCTION("""COMPUTED_VALUE"""),"LUAR NEGERI")</f>
        <v>LUAR NEGERI</v>
      </c>
      <c r="V78" s="851" t="str">
        <f>IFERROR(__xludf.DUMMYFUNCTION("""COMPUTED_VALUE"""),"IN CASH")</f>
        <v>IN CASH</v>
      </c>
      <c r="W78" s="852" t="str">
        <f>IFERROR(__xludf.DUMMYFUNCTION("""COMPUTED_VALUE"""),"IN KIND")</f>
        <v>IN KIND</v>
      </c>
      <c r="X78" s="852"/>
    </row>
    <row r="79">
      <c r="A79" s="822"/>
      <c r="B79" s="823"/>
      <c r="C79" s="831" t="str">
        <f>IFERROR(__xludf.DUMMYFUNCTION("""COMPUTED_VALUE"""),"Februari")</f>
        <v>Februari</v>
      </c>
      <c r="D79" s="823"/>
      <c r="E79" s="400"/>
      <c r="F79" s="829"/>
      <c r="G79" s="400"/>
      <c r="H79" s="400"/>
      <c r="I79" s="400"/>
      <c r="J79" s="400"/>
      <c r="K79" s="400"/>
      <c r="L79" s="826"/>
      <c r="M79" s="853">
        <f>IFERROR(__xludf.DUMMYFUNCTION("""COMPUTED_VALUE"""),0.0)</f>
        <v>0</v>
      </c>
      <c r="N79" s="853">
        <f>IFERROR(__xludf.DUMMYFUNCTION("""COMPUTED_VALUE"""),0.0)</f>
        <v>0</v>
      </c>
      <c r="O79" s="853">
        <f>IFERROR(__xludf.DUMMYFUNCTION("""COMPUTED_VALUE"""),0.0)</f>
        <v>0</v>
      </c>
      <c r="P79" s="853">
        <f>IFERROR(__xludf.DUMMYFUNCTION("""COMPUTED_VALUE"""),0.0)</f>
        <v>0</v>
      </c>
      <c r="Q79" s="853">
        <f>IFERROR(__xludf.DUMMYFUNCTION("""COMPUTED_VALUE"""),0.0)</f>
        <v>0</v>
      </c>
      <c r="R79" s="853">
        <f>IFERROR(__xludf.DUMMYFUNCTION("""COMPUTED_VALUE"""),2.34E8)</f>
        <v>234000000</v>
      </c>
      <c r="S79" s="853">
        <f>IFERROR(__xludf.DUMMYFUNCTION("""COMPUTED_VALUE"""),0.0)</f>
        <v>0</v>
      </c>
      <c r="T79" s="853">
        <f>IFERROR(__xludf.DUMMYFUNCTION("""COMPUTED_VALUE"""),2.34E8)</f>
        <v>234000000</v>
      </c>
      <c r="U79" s="853">
        <f>IFERROR(__xludf.DUMMYFUNCTION("""COMPUTED_VALUE"""),0.0)</f>
        <v>0</v>
      </c>
      <c r="V79" s="853">
        <f>IFERROR(__xludf.DUMMYFUNCTION("""COMPUTED_VALUE"""),2.34E8)</f>
        <v>234000000</v>
      </c>
      <c r="W79" s="853">
        <f>IFERROR(__xludf.DUMMYFUNCTION("""COMPUTED_VALUE"""),0.0)</f>
        <v>0</v>
      </c>
      <c r="X79" s="853"/>
    </row>
    <row r="80">
      <c r="A80" s="822"/>
      <c r="B80" s="823"/>
      <c r="C80" s="831" t="str">
        <f>IFERROR(__xludf.DUMMYFUNCTION("""COMPUTED_VALUE"""),"Maret")</f>
        <v>Maret</v>
      </c>
      <c r="D80" s="823"/>
      <c r="E80" s="811" t="s">
        <v>947</v>
      </c>
      <c r="F80" s="812">
        <v>17.0</v>
      </c>
      <c r="G80" s="832" t="str">
        <f>IFERROR(__xludf.DUMMYFUNCTION("""COMPUTED_VALUE"""),"Kerjasama")</f>
        <v>Kerjasama</v>
      </c>
      <c r="H80" s="833">
        <f>IFERROR(__xludf.DUMMYFUNCTION("""COMPUTED_VALUE"""),0.0)</f>
        <v>0</v>
      </c>
      <c r="I80" s="834">
        <f>IFERROR(__xludf.DUMMYFUNCTION("""COMPUTED_VALUE"""),0.0)</f>
        <v>0</v>
      </c>
      <c r="J80" s="835" t="str">
        <f>IFERROR(__xludf.DUMMYFUNCTION("""COMPUTED_VALUE"""),"Kerjasama")</f>
        <v>Kerjasama</v>
      </c>
      <c r="K80" s="836"/>
      <c r="L80" s="826"/>
      <c r="M80" s="849" t="str">
        <f>IFERROR(__xludf.DUMMYFUNCTION("""COMPUTED_VALUE"""),"PNBP")</f>
        <v>PNBP</v>
      </c>
      <c r="N80" s="849" t="str">
        <f>IFERROR(__xludf.DUMMYFUNCTION("""COMPUTED_VALUE"""),"HIBAH")</f>
        <v>HIBAH</v>
      </c>
      <c r="O80" s="849" t="str">
        <f>IFERROR(__xludf.DUMMYFUNCTION("""COMPUTED_VALUE"""),"LISENSI")</f>
        <v>LISENSI</v>
      </c>
      <c r="P80" s="849" t="str">
        <f>IFERROR(__xludf.DUMMYFUNCTION("""COMPUTED_VALUE"""),"DALAM NEGERI")</f>
        <v>DALAM NEGERI</v>
      </c>
      <c r="Q80" s="849" t="str">
        <f>IFERROR(__xludf.DUMMYFUNCTION("""COMPUTED_VALUE"""),"LUAR NEGERI")</f>
        <v>LUAR NEGERI</v>
      </c>
      <c r="R80" s="849"/>
      <c r="S80" s="849"/>
      <c r="T80" s="849"/>
      <c r="U80" s="851"/>
      <c r="V80" s="851"/>
      <c r="W80" s="844"/>
      <c r="X80" s="844"/>
    </row>
    <row r="81">
      <c r="A81" s="822"/>
      <c r="B81" s="823"/>
      <c r="C81" s="831" t="str">
        <f>IFERROR(__xludf.DUMMYFUNCTION("""COMPUTED_VALUE"""),"April")</f>
        <v>April</v>
      </c>
      <c r="D81" s="823"/>
      <c r="E81" s="400"/>
      <c r="F81" s="829"/>
      <c r="G81" s="400"/>
      <c r="H81" s="400"/>
      <c r="I81" s="400"/>
      <c r="J81" s="400"/>
      <c r="K81" s="400"/>
      <c r="L81" s="826"/>
      <c r="M81" s="830">
        <f>IFERROR(__xludf.DUMMYFUNCTION("""COMPUTED_VALUE"""),0.0)</f>
        <v>0</v>
      </c>
      <c r="N81" s="830">
        <f>IFERROR(__xludf.DUMMYFUNCTION("""COMPUTED_VALUE"""),0.0)</f>
        <v>0</v>
      </c>
      <c r="O81" s="830">
        <f>IFERROR(__xludf.DUMMYFUNCTION("""COMPUTED_VALUE"""),0.0)</f>
        <v>0</v>
      </c>
      <c r="P81" s="854">
        <f>IFERROR(__xludf.DUMMYFUNCTION("""COMPUTED_VALUE"""),0.0)</f>
        <v>0</v>
      </c>
      <c r="Q81" s="854">
        <f>IFERROR(__xludf.DUMMYFUNCTION("""COMPUTED_VALUE"""),0.0)</f>
        <v>0</v>
      </c>
      <c r="R81" s="854"/>
      <c r="S81" s="830"/>
      <c r="T81" s="830"/>
      <c r="U81" s="830"/>
      <c r="V81" s="830"/>
      <c r="W81" s="798"/>
      <c r="X81" s="798"/>
    </row>
    <row r="82">
      <c r="A82" s="822"/>
      <c r="B82" s="823"/>
      <c r="C82" s="831" t="str">
        <f>IFERROR(__xludf.DUMMYFUNCTION("""COMPUTED_VALUE"""),"Mei")</f>
        <v>Mei</v>
      </c>
      <c r="D82" s="823"/>
      <c r="E82" s="811" t="s">
        <v>948</v>
      </c>
      <c r="F82" s="812">
        <v>26.0</v>
      </c>
      <c r="G82" s="832" t="str">
        <f>IFERROR(__xludf.DUMMYFUNCTION("""COMPUTED_VALUE"""),"Pegawai")</f>
        <v>Pegawai</v>
      </c>
      <c r="H82" s="855">
        <f>IFERROR(__xludf.DUMMYFUNCTION("""COMPUTED_VALUE"""),0.0)</f>
        <v>0</v>
      </c>
      <c r="I82" s="834">
        <f>IFERROR(__xludf.DUMMYFUNCTION("""COMPUTED_VALUE"""),0.0)</f>
        <v>0</v>
      </c>
      <c r="J82" s="835" t="str">
        <f>IFERROR(__xludf.DUMMYFUNCTION("""COMPUTED_VALUE"""),"Pegawai")</f>
        <v>Pegawai</v>
      </c>
      <c r="K82" s="836"/>
      <c r="L82" s="826"/>
      <c r="M82" s="849" t="str">
        <f>IFERROR(__xludf.DUMMYFUNCTION("""COMPUTED_VALUE"""),"S2")</f>
        <v>S2</v>
      </c>
      <c r="N82" s="856" t="str">
        <f>IFERROR(__xludf.DUMMYFUNCTION("""COMPUTED_VALUE"""),"S3")</f>
        <v>S3</v>
      </c>
      <c r="O82" s="857" t="str">
        <f>IFERROR(__xludf.DUMMYFUNCTION("""COMPUTED_VALUE"""),"IJIN BELAJAR")</f>
        <v>IJIN BELAJAR</v>
      </c>
      <c r="P82" s="858" t="str">
        <f>IFERROR(__xludf.DUMMYFUNCTION("""COMPUTED_VALUE"""),"TUGAS BELAJAR")</f>
        <v>TUGAS BELAJAR</v>
      </c>
      <c r="Q82" s="798"/>
      <c r="R82" s="798"/>
      <c r="S82" s="798"/>
      <c r="T82" s="798"/>
      <c r="U82" s="798"/>
      <c r="V82" s="798"/>
      <c r="W82" s="798"/>
      <c r="X82" s="798"/>
    </row>
    <row r="83">
      <c r="A83" s="822"/>
      <c r="B83" s="823"/>
      <c r="C83" s="831" t="str">
        <f>IFERROR(__xludf.DUMMYFUNCTION("""COMPUTED_VALUE"""),"Juni")</f>
        <v>Juni</v>
      </c>
      <c r="D83" s="823"/>
      <c r="E83" s="400"/>
      <c r="F83" s="829"/>
      <c r="G83" s="400"/>
      <c r="H83" s="400"/>
      <c r="I83" s="400"/>
      <c r="J83" s="400"/>
      <c r="K83" s="400"/>
      <c r="L83" s="826"/>
      <c r="M83" s="830">
        <f>IFERROR(__xludf.DUMMYFUNCTION("""COMPUTED_VALUE"""),0.0)</f>
        <v>0</v>
      </c>
      <c r="N83" s="830">
        <f>IFERROR(__xludf.DUMMYFUNCTION("""COMPUTED_VALUE"""),0.0)</f>
        <v>0</v>
      </c>
      <c r="O83" s="830">
        <f>IFERROR(__xludf.DUMMYFUNCTION("""COMPUTED_VALUE"""),0.0)</f>
        <v>0</v>
      </c>
      <c r="P83" s="830">
        <f>IFERROR(__xludf.DUMMYFUNCTION("""COMPUTED_VALUE"""),0.0)</f>
        <v>0</v>
      </c>
      <c r="Q83" s="798"/>
      <c r="R83" s="798"/>
      <c r="S83" s="798"/>
      <c r="T83" s="798"/>
      <c r="U83" s="798"/>
      <c r="V83" s="798"/>
      <c r="W83" s="798"/>
      <c r="X83" s="798"/>
    </row>
    <row r="84">
      <c r="A84" s="822"/>
      <c r="B84" s="823"/>
      <c r="C84" s="831" t="str">
        <f>IFERROR(__xludf.DUMMYFUNCTION("""COMPUTED_VALUE"""),"Juli")</f>
        <v>Juli</v>
      </c>
      <c r="D84" s="823"/>
      <c r="E84" s="811" t="s">
        <v>949</v>
      </c>
      <c r="F84" s="812">
        <v>5.0</v>
      </c>
      <c r="G84" s="832" t="str">
        <f>IFERROR(__xludf.DUMMYFUNCTION("""COMPUTED_VALUE"""),"Peserta")</f>
        <v>Peserta</v>
      </c>
      <c r="H84" s="855">
        <f>IFERROR(__xludf.DUMMYFUNCTION("""COMPUTED_VALUE"""),0.0)</f>
        <v>0</v>
      </c>
      <c r="I84" s="834">
        <f>IFERROR(__xludf.DUMMYFUNCTION("""COMPUTED_VALUE"""),0.0)</f>
        <v>0</v>
      </c>
      <c r="J84" s="835" t="str">
        <f>IFERROR(__xludf.DUMMYFUNCTION("""COMPUTED_VALUE"""),"Peserta")</f>
        <v>Peserta</v>
      </c>
      <c r="K84" s="836"/>
      <c r="L84" s="826"/>
      <c r="M84" s="859" t="str">
        <f>IFERROR(__xludf.DUMMYFUNCTION("""COMPUTED_VALUE"""),"POSTDOCTORAL")</f>
        <v>POSTDOCTORAL</v>
      </c>
      <c r="N84" s="820"/>
      <c r="O84" s="859" t="str">
        <f>IFERROR(__xludf.DUMMYFUNCTION("""COMPUTED_VALUE"""),"VISITING RESEARCH")</f>
        <v>VISITING RESEARCH</v>
      </c>
      <c r="P84" s="820"/>
      <c r="Q84" s="860" t="str">
        <f>IFERROR(__xludf.DUMMYFUNCTION("""COMPUTED_VALUE"""),"PUBLIKASI")</f>
        <v>PUBLIKASI</v>
      </c>
      <c r="R84" s="820"/>
      <c r="S84" s="798"/>
      <c r="T84" s="798"/>
      <c r="U84" s="798"/>
      <c r="V84" s="798"/>
      <c r="W84" s="798"/>
      <c r="X84" s="798"/>
    </row>
    <row r="85">
      <c r="A85" s="822"/>
      <c r="B85" s="823"/>
      <c r="C85" s="831" t="str">
        <f>IFERROR(__xludf.DUMMYFUNCTION("""COMPUTED_VALUE"""),"Agustus")</f>
        <v>Agustus</v>
      </c>
      <c r="D85" s="823"/>
      <c r="E85" s="823"/>
      <c r="F85" s="825"/>
      <c r="G85" s="823"/>
      <c r="H85" s="823"/>
      <c r="I85" s="823"/>
      <c r="J85" s="823"/>
      <c r="K85" s="823"/>
      <c r="L85" s="826"/>
      <c r="M85" s="827" t="str">
        <f>IFERROR(__xludf.DUMMYFUNCTION("""COMPUTED_VALUE"""),"Dalam Negeri")</f>
        <v>Dalam Negeri</v>
      </c>
      <c r="N85" s="827" t="str">
        <f>IFERROR(__xludf.DUMMYFUNCTION("""COMPUTED_VALUE"""),"Luar Negeri")</f>
        <v>Luar Negeri</v>
      </c>
      <c r="O85" s="827" t="str">
        <f>IFERROR(__xludf.DUMMYFUNCTION("""COMPUTED_VALUE"""),"Dalam Negeri")</f>
        <v>Dalam Negeri</v>
      </c>
      <c r="P85" s="827" t="str">
        <f>IFERROR(__xludf.DUMMYFUNCTION("""COMPUTED_VALUE"""),"Luar Negeri")</f>
        <v>Luar Negeri</v>
      </c>
      <c r="Q85" s="861" t="str">
        <f>IFERROR(__xludf.DUMMYFUNCTION("""COMPUTED_VALUE"""),"Dalam Negeri")</f>
        <v>Dalam Negeri</v>
      </c>
      <c r="R85" s="861" t="str">
        <f>IFERROR(__xludf.DUMMYFUNCTION("""COMPUTED_VALUE"""),"Luar Negeri")</f>
        <v>Luar Negeri</v>
      </c>
      <c r="S85" s="798"/>
      <c r="T85" s="798"/>
      <c r="U85" s="798"/>
      <c r="V85" s="798"/>
      <c r="W85" s="798"/>
      <c r="X85" s="798"/>
    </row>
    <row r="86">
      <c r="A86" s="822"/>
      <c r="B86" s="823"/>
      <c r="C86" s="831" t="str">
        <f>IFERROR(__xludf.DUMMYFUNCTION("""COMPUTED_VALUE"""),"September")</f>
        <v>September</v>
      </c>
      <c r="D86" s="862"/>
      <c r="E86" s="862"/>
      <c r="F86" s="863"/>
      <c r="G86" s="862"/>
      <c r="H86" s="862"/>
      <c r="I86" s="862"/>
      <c r="J86" s="862"/>
      <c r="K86" s="862"/>
      <c r="L86" s="864"/>
      <c r="M86" s="865">
        <f>IFERROR(__xludf.DUMMYFUNCTION("""COMPUTED_VALUE"""),0.0)</f>
        <v>0</v>
      </c>
      <c r="N86" s="865">
        <f>IFERROR(__xludf.DUMMYFUNCTION("""COMPUTED_VALUE"""),0.0)</f>
        <v>0</v>
      </c>
      <c r="O86" s="865">
        <f>IFERROR(__xludf.DUMMYFUNCTION("""COMPUTED_VALUE"""),0.0)</f>
        <v>0</v>
      </c>
      <c r="P86" s="865">
        <f>IFERROR(__xludf.DUMMYFUNCTION("""COMPUTED_VALUE"""),0.0)</f>
        <v>0</v>
      </c>
      <c r="Q86" s="865">
        <f>IFERROR(__xludf.DUMMYFUNCTION("""COMPUTED_VALUE"""),0.0)</f>
        <v>0</v>
      </c>
      <c r="R86" s="865">
        <f>IFERROR(__xludf.DUMMYFUNCTION("""COMPUTED_VALUE"""),0.0)</f>
        <v>0</v>
      </c>
      <c r="S86" s="798"/>
      <c r="T86" s="798"/>
      <c r="U86" s="798"/>
      <c r="V86" s="798"/>
      <c r="W86" s="798"/>
      <c r="X86" s="798"/>
    </row>
    <row r="87">
      <c r="A87" s="822"/>
      <c r="B87" s="823"/>
      <c r="C87" s="831" t="str">
        <f>IFERROR(__xludf.DUMMYFUNCTION("""COMPUTED_VALUE"""),"Oktober")</f>
        <v>Oktober</v>
      </c>
      <c r="D87" s="866" t="str">
        <f>IFERROR(__xludf.DUMMYFUNCTION("""COMPUTED_VALUE"""),"Capaian Lainnya")</f>
        <v>Capaian Lainnya</v>
      </c>
      <c r="E87" s="867" t="s">
        <v>950</v>
      </c>
      <c r="F87" s="868"/>
      <c r="G87" s="869" t="str">
        <f>IFERROR(__xludf.DUMMYFUNCTION("""COMPUTED_VALUE"""),"Sitasi")</f>
        <v>Sitasi</v>
      </c>
      <c r="H87" s="870">
        <f>IFERROR(__xludf.DUMMYFUNCTION("""COMPUTED_VALUE"""),360.0)</f>
        <v>360</v>
      </c>
      <c r="I87" s="871"/>
      <c r="J87" s="872" t="str">
        <f>IFERROR(__xludf.DUMMYFUNCTION("""COMPUTED_VALUE"""),"Sitasi")</f>
        <v>Sitasi</v>
      </c>
      <c r="K87" s="869"/>
      <c r="L87" s="873"/>
      <c r="M87" s="849" t="str">
        <f>IFERROR(__xludf.DUMMYFUNCTION("""COMPUTED_VALUE"""),"DOK PUBLISHED")</f>
        <v>DOK PUBLISHED</v>
      </c>
      <c r="N87" s="849" t="str">
        <f>IFERROR(__xludf.DUMMYFUNCTION("""COMPUTED_VALUE"""),"SITASI")</f>
        <v>SITASI</v>
      </c>
      <c r="O87" s="798"/>
      <c r="P87" s="798"/>
      <c r="Q87" s="798"/>
      <c r="R87" s="798"/>
      <c r="S87" s="798"/>
      <c r="T87" s="798"/>
      <c r="U87" s="798"/>
      <c r="V87" s="798"/>
      <c r="W87" s="798"/>
      <c r="X87" s="798"/>
    </row>
    <row r="88">
      <c r="A88" s="822"/>
      <c r="B88" s="823"/>
      <c r="C88" s="831" t="str">
        <f>IFERROR(__xludf.DUMMYFUNCTION("""COMPUTED_VALUE"""),"November")</f>
        <v>November</v>
      </c>
      <c r="D88" s="823"/>
      <c r="E88" s="874"/>
      <c r="F88" s="875"/>
      <c r="G88" s="874"/>
      <c r="H88" s="874"/>
      <c r="I88" s="874"/>
      <c r="J88" s="874"/>
      <c r="K88" s="874"/>
      <c r="L88" s="826"/>
      <c r="M88" s="830">
        <f>IFERROR(__xludf.DUMMYFUNCTION("""COMPUTED_VALUE"""),0.0)</f>
        <v>0</v>
      </c>
      <c r="N88" s="830">
        <f>IFERROR(__xludf.DUMMYFUNCTION("""COMPUTED_VALUE"""),0.0)</f>
        <v>0</v>
      </c>
      <c r="O88" s="798"/>
      <c r="P88" s="798"/>
      <c r="Q88" s="798"/>
      <c r="R88" s="798"/>
      <c r="S88" s="798"/>
      <c r="T88" s="798"/>
      <c r="U88" s="798"/>
      <c r="V88" s="798"/>
      <c r="W88" s="798"/>
      <c r="X88" s="798"/>
    </row>
    <row r="89">
      <c r="A89" s="822"/>
      <c r="B89" s="823"/>
      <c r="C89" s="831" t="str">
        <f>IFERROR(__xludf.DUMMYFUNCTION("""COMPUTED_VALUE"""),"Desember")</f>
        <v>Desember</v>
      </c>
      <c r="D89" s="823"/>
      <c r="E89" s="867" t="s">
        <v>951</v>
      </c>
      <c r="F89" s="868"/>
      <c r="G89" s="876" t="str">
        <f>IFERROR(__xludf.DUMMYFUNCTION("""COMPUTED_VALUE"""),"Publikasi Nasional")</f>
        <v>Publikasi Nasional</v>
      </c>
      <c r="H89" s="877">
        <f>IFERROR(__xludf.DUMMYFUNCTION("""COMPUTED_VALUE"""),0.0)</f>
        <v>0</v>
      </c>
      <c r="I89" s="878"/>
      <c r="J89" s="879" t="str">
        <f>IFERROR(__xludf.DUMMYFUNCTION("""COMPUTED_VALUE"""),"Publikasi Nasional")</f>
        <v>Publikasi Nasional</v>
      </c>
      <c r="K89" s="876"/>
      <c r="L89" s="826"/>
      <c r="M89" s="798"/>
      <c r="N89" s="798"/>
      <c r="O89" s="798"/>
      <c r="P89" s="798"/>
      <c r="Q89" s="798"/>
      <c r="R89" s="798"/>
      <c r="S89" s="798"/>
      <c r="T89" s="798"/>
      <c r="U89" s="798"/>
      <c r="V89" s="798"/>
      <c r="W89" s="798"/>
      <c r="X89" s="798"/>
    </row>
    <row r="90">
      <c r="A90" s="673"/>
      <c r="B90" s="674"/>
      <c r="C90" s="880" t="str">
        <f>IFERROR(__xludf.DUMMYFUNCTION("""COMPUTED_VALUE"""),"Januari")</f>
        <v>Januari</v>
      </c>
      <c r="D90" s="674"/>
      <c r="E90" s="674"/>
      <c r="F90" s="881"/>
      <c r="G90" s="674"/>
      <c r="H90" s="674"/>
      <c r="I90" s="674"/>
      <c r="J90" s="674"/>
      <c r="K90" s="674"/>
      <c r="L90" s="882"/>
      <c r="M90" s="798"/>
      <c r="N90" s="798"/>
      <c r="O90" s="798"/>
      <c r="P90" s="798"/>
      <c r="Q90" s="798"/>
      <c r="R90" s="798"/>
      <c r="S90" s="798"/>
      <c r="T90" s="798"/>
      <c r="U90" s="798"/>
      <c r="V90" s="798"/>
      <c r="W90" s="798"/>
      <c r="X90" s="798"/>
    </row>
    <row r="91">
      <c r="A91" s="807">
        <f>IFERROR(__xludf.DUMMYFUNCTION("""COMPUTED_VALUE"""),5.0)</f>
        <v>5</v>
      </c>
      <c r="B91" s="883" t="str">
        <f>IFERROR(__xludf.DUMMYFUNCTION("""COMPUTED_VALUE"""),"Mei")</f>
        <v>Mei</v>
      </c>
      <c r="C91" s="884" t="str">
        <f>IFERROR(__xludf.DUMMYFUNCTION("""COMPUTED_VALUE"""),"Mei")</f>
        <v>Mei</v>
      </c>
      <c r="D91" s="885" t="str">
        <f>IFERROR(__xludf.DUMMYFUNCTION("""COMPUTED_VALUE"""),"Terselenggaranya riset dan inovasi di bidang elektronikan dan informatika")</f>
        <v>Terselenggaranya riset dan inovasi di bidang elektronikan dan informatika</v>
      </c>
      <c r="E91" s="811" t="s">
        <v>943</v>
      </c>
      <c r="F91" s="812">
        <v>2.0</v>
      </c>
      <c r="G91" s="886" t="str">
        <f>IFERROR(__xludf.DUMMYFUNCTION("""COMPUTED_VALUE"""),"Purwarupa")</f>
        <v>Purwarupa</v>
      </c>
      <c r="H91" s="887">
        <f>IFERROR(__xludf.DUMMYFUNCTION("""COMPUTED_VALUE"""),0.0)</f>
        <v>0</v>
      </c>
      <c r="I91" s="888">
        <f>IFERROR(__xludf.DUMMYFUNCTION("""COMPUTED_VALUE"""),0.0)</f>
        <v>0</v>
      </c>
      <c r="J91" s="889" t="str">
        <f>IFERROR(__xludf.DUMMYFUNCTION("""COMPUTED_VALUE"""),"Purwarupa")</f>
        <v>Purwarupa</v>
      </c>
      <c r="K91" s="890"/>
      <c r="L91" s="891">
        <f>IFERROR(__xludf.DUMMYFUNCTION("""COMPUTED_VALUE"""),0.05448051948051948)</f>
        <v>0.05448051948</v>
      </c>
      <c r="M91" s="819" t="str">
        <f>IFERROR(__xludf.DUMMYFUNCTION("""COMPUTED_VALUE"""),"HARDWARE PROTOTYPE")</f>
        <v>HARDWARE PROTOTYPE</v>
      </c>
      <c r="N91" s="820"/>
      <c r="O91" s="819" t="str">
        <f>IFERROR(__xludf.DUMMYFUNCTION("""COMPUTED_VALUE"""),"SOFTWARE PROTOTYPE")</f>
        <v>SOFTWARE PROTOTYPE</v>
      </c>
      <c r="P91" s="820"/>
      <c r="Q91" s="819" t="str">
        <f>IFERROR(__xludf.DUMMYFUNCTION("""COMPUTED_VALUE"""),"DESAIN PROTOTYPE")</f>
        <v>DESAIN PROTOTYPE</v>
      </c>
      <c r="R91" s="820"/>
      <c r="S91" s="892"/>
      <c r="T91" s="892"/>
      <c r="U91" s="892"/>
      <c r="V91" s="892"/>
      <c r="W91" s="892"/>
      <c r="X91" s="892"/>
    </row>
    <row r="92">
      <c r="A92" s="822"/>
      <c r="B92" s="825"/>
      <c r="C92" s="893" t="str">
        <f>IFERROR(__xludf.DUMMYFUNCTION("""COMPUTED_VALUE"""),"Juni")</f>
        <v>Juni</v>
      </c>
      <c r="D92" s="825"/>
      <c r="E92" s="823"/>
      <c r="F92" s="825"/>
      <c r="G92" s="825"/>
      <c r="H92" s="825"/>
      <c r="I92" s="825"/>
      <c r="J92" s="825"/>
      <c r="K92" s="825"/>
      <c r="L92" s="894"/>
      <c r="M92" s="827" t="str">
        <f>IFERROR(__xludf.DUMMYFUNCTION("""COMPUTED_VALUE"""),"Selesai")</f>
        <v>Selesai</v>
      </c>
      <c r="N92" s="827" t="str">
        <f>IFERROR(__xludf.DUMMYFUNCTION("""COMPUTED_VALUE"""),"Skala Uji Lab")</f>
        <v>Skala Uji Lab</v>
      </c>
      <c r="O92" s="827" t="str">
        <f>IFERROR(__xludf.DUMMYFUNCTION("""COMPUTED_VALUE"""),"Selesai")</f>
        <v>Selesai</v>
      </c>
      <c r="P92" s="827" t="str">
        <f>IFERROR(__xludf.DUMMYFUNCTION("""COMPUTED_VALUE"""),"Skala Uji Lab")</f>
        <v>Skala Uji Lab</v>
      </c>
      <c r="Q92" s="827" t="str">
        <f>IFERROR(__xludf.DUMMYFUNCTION("""COMPUTED_VALUE"""),"Selesai")</f>
        <v>Selesai</v>
      </c>
      <c r="R92" s="827" t="str">
        <f>IFERROR(__xludf.DUMMYFUNCTION("""COMPUTED_VALUE"""),"Skala Uji Lab")</f>
        <v>Skala Uji Lab</v>
      </c>
      <c r="S92" s="828"/>
      <c r="T92" s="828"/>
      <c r="U92" s="895"/>
      <c r="V92" s="895"/>
      <c r="W92" s="895"/>
      <c r="X92" s="895"/>
    </row>
    <row r="93">
      <c r="A93" s="822"/>
      <c r="B93" s="825"/>
      <c r="C93" s="893" t="str">
        <f>IFERROR(__xludf.DUMMYFUNCTION("""COMPUTED_VALUE"""),"Juli")</f>
        <v>Juli</v>
      </c>
      <c r="D93" s="825"/>
      <c r="E93" s="400"/>
      <c r="F93" s="829"/>
      <c r="G93" s="829"/>
      <c r="H93" s="829"/>
      <c r="I93" s="829"/>
      <c r="J93" s="829"/>
      <c r="K93" s="829"/>
      <c r="L93" s="894"/>
      <c r="M93" s="830">
        <f>IFERROR(__xludf.DUMMYFUNCTION("""COMPUTED_VALUE"""),0.0)</f>
        <v>0</v>
      </c>
      <c r="N93" s="830">
        <f>IFERROR(__xludf.DUMMYFUNCTION("""COMPUTED_VALUE"""),0.0)</f>
        <v>0</v>
      </c>
      <c r="O93" s="830">
        <f>IFERROR(__xludf.DUMMYFUNCTION("""COMPUTED_VALUE"""),0.0)</f>
        <v>0</v>
      </c>
      <c r="P93" s="830">
        <f>IFERROR(__xludf.DUMMYFUNCTION("""COMPUTED_VALUE"""),0.0)</f>
        <v>0</v>
      </c>
      <c r="Q93" s="830">
        <f>IFERROR(__xludf.DUMMYFUNCTION("""COMPUTED_VALUE"""),0.0)</f>
        <v>0</v>
      </c>
      <c r="R93" s="830">
        <f>IFERROR(__xludf.DUMMYFUNCTION("""COMPUTED_VALUE"""),0.0)</f>
        <v>0</v>
      </c>
      <c r="S93" s="896"/>
      <c r="T93" s="896"/>
      <c r="U93" s="895"/>
      <c r="V93" s="895"/>
      <c r="W93" s="895"/>
      <c r="X93" s="895"/>
    </row>
    <row r="94">
      <c r="A94" s="822"/>
      <c r="B94" s="825"/>
      <c r="C94" s="893" t="str">
        <f>IFERROR(__xludf.DUMMYFUNCTION("""COMPUTED_VALUE"""),"Agustus")</f>
        <v>Agustus</v>
      </c>
      <c r="D94" s="825"/>
      <c r="E94" s="811" t="s">
        <v>944</v>
      </c>
      <c r="F94" s="812">
        <v>80.0</v>
      </c>
      <c r="G94" s="897" t="str">
        <f>IFERROR(__xludf.DUMMYFUNCTION("""COMPUTED_VALUE"""),"Publikasi Internasional")</f>
        <v>Publikasi Internasional</v>
      </c>
      <c r="H94" s="898">
        <f>IFERROR(__xludf.DUMMYFUNCTION("""COMPUTED_VALUE"""),22.0)</f>
        <v>22</v>
      </c>
      <c r="I94" s="899">
        <f>IFERROR(__xludf.DUMMYFUNCTION("""COMPUTED_VALUE"""),0.275)</f>
        <v>0.275</v>
      </c>
      <c r="J94" s="900" t="str">
        <f>IFERROR(__xludf.DUMMYFUNCTION("""COMPUTED_VALUE"""),"Publikasi Internasional")</f>
        <v>Publikasi Internasional</v>
      </c>
      <c r="K94" s="901"/>
      <c r="L94" s="894"/>
      <c r="M94" s="902" t="str">
        <f>IFERROR(__xludf.DUMMYFUNCTION("""COMPUTED_VALUE"""),"JURNAL")</f>
        <v>JURNAL</v>
      </c>
      <c r="N94" s="829"/>
      <c r="O94" s="902" t="str">
        <f>IFERROR(__xludf.DUMMYFUNCTION("""COMPUTED_VALUE"""),"PHROSIDING")</f>
        <v>PHROSIDING</v>
      </c>
      <c r="P94" s="829"/>
      <c r="Q94" s="902" t="str">
        <f>IFERROR(__xludf.DUMMYFUNCTION("""COMPUTED_VALUE"""),"BUKU")</f>
        <v>BUKU</v>
      </c>
      <c r="R94" s="829"/>
      <c r="S94" s="902" t="str">
        <f>IFERROR(__xludf.DUMMYFUNCTION("""COMPUTED_VALUE"""),"BAGIAN BUKU")</f>
        <v>BAGIAN BUKU</v>
      </c>
      <c r="T94" s="829"/>
      <c r="U94" s="895"/>
      <c r="V94" s="895"/>
      <c r="W94" s="895"/>
      <c r="X94" s="895"/>
    </row>
    <row r="95">
      <c r="A95" s="822"/>
      <c r="B95" s="825"/>
      <c r="C95" s="893" t="str">
        <f>IFERROR(__xludf.DUMMYFUNCTION("""COMPUTED_VALUE"""),"September")</f>
        <v>September</v>
      </c>
      <c r="D95" s="825"/>
      <c r="E95" s="823"/>
      <c r="F95" s="825"/>
      <c r="G95" s="825"/>
      <c r="H95" s="825"/>
      <c r="I95" s="825"/>
      <c r="J95" s="825"/>
      <c r="K95" s="825"/>
      <c r="L95" s="894"/>
      <c r="M95" s="827" t="str">
        <f>IFERROR(__xludf.DUMMYFUNCTION("""COMPUTED_VALUE"""),"Published")</f>
        <v>Published</v>
      </c>
      <c r="N95" s="827" t="str">
        <f>IFERROR(__xludf.DUMMYFUNCTION("""COMPUTED_VALUE"""),"Accepted")</f>
        <v>Accepted</v>
      </c>
      <c r="O95" s="827" t="str">
        <f>IFERROR(__xludf.DUMMYFUNCTION("""COMPUTED_VALUE"""),"Published")</f>
        <v>Published</v>
      </c>
      <c r="P95" s="827" t="str">
        <f>IFERROR(__xludf.DUMMYFUNCTION("""COMPUTED_VALUE"""),"Accepted")</f>
        <v>Accepted</v>
      </c>
      <c r="Q95" s="827" t="str">
        <f>IFERROR(__xludf.DUMMYFUNCTION("""COMPUTED_VALUE"""),"Published")</f>
        <v>Published</v>
      </c>
      <c r="R95" s="827" t="str">
        <f>IFERROR(__xludf.DUMMYFUNCTION("""COMPUTED_VALUE"""),"Accepted")</f>
        <v>Accepted</v>
      </c>
      <c r="S95" s="827" t="str">
        <f>IFERROR(__xludf.DUMMYFUNCTION("""COMPUTED_VALUE"""),"Published")</f>
        <v>Published</v>
      </c>
      <c r="T95" s="827" t="str">
        <f>IFERROR(__xludf.DUMMYFUNCTION("""COMPUTED_VALUE"""),"Accepted")</f>
        <v>Accepted</v>
      </c>
      <c r="U95" s="895"/>
      <c r="V95" s="895"/>
      <c r="W95" s="895"/>
      <c r="X95" s="895"/>
    </row>
    <row r="96">
      <c r="A96" s="822"/>
      <c r="B96" s="825"/>
      <c r="C96" s="893" t="str">
        <f>IFERROR(__xludf.DUMMYFUNCTION("""COMPUTED_VALUE"""),"Oktober")</f>
        <v>Oktober</v>
      </c>
      <c r="D96" s="825"/>
      <c r="E96" s="400"/>
      <c r="F96" s="829"/>
      <c r="G96" s="829"/>
      <c r="H96" s="829"/>
      <c r="I96" s="829"/>
      <c r="J96" s="829"/>
      <c r="K96" s="829"/>
      <c r="L96" s="894"/>
      <c r="M96" s="830">
        <f>IFERROR(__xludf.DUMMYFUNCTION("""COMPUTED_VALUE"""),23.0)</f>
        <v>23</v>
      </c>
      <c r="N96" s="830">
        <f>IFERROR(__xludf.DUMMYFUNCTION("""COMPUTED_VALUE"""),0.0)</f>
        <v>0</v>
      </c>
      <c r="O96" s="830">
        <f>IFERROR(__xludf.DUMMYFUNCTION("""COMPUTED_VALUE"""),4.0)</f>
        <v>4</v>
      </c>
      <c r="P96" s="830">
        <f>IFERROR(__xludf.DUMMYFUNCTION("""COMPUTED_VALUE"""),0.0)</f>
        <v>0</v>
      </c>
      <c r="Q96" s="830">
        <f>IFERROR(__xludf.DUMMYFUNCTION("""COMPUTED_VALUE"""),0.0)</f>
        <v>0</v>
      </c>
      <c r="R96" s="830">
        <f>IFERROR(__xludf.DUMMYFUNCTION("""COMPUTED_VALUE"""),0.0)</f>
        <v>0</v>
      </c>
      <c r="S96" s="830">
        <f>IFERROR(__xludf.DUMMYFUNCTION("""COMPUTED_VALUE"""),0.0)</f>
        <v>0</v>
      </c>
      <c r="T96" s="830">
        <f>IFERROR(__xludf.DUMMYFUNCTION("""COMPUTED_VALUE"""),0.0)</f>
        <v>0</v>
      </c>
      <c r="U96" s="895"/>
      <c r="V96" s="895"/>
      <c r="W96" s="895"/>
      <c r="X96" s="895"/>
    </row>
    <row r="97">
      <c r="A97" s="822"/>
      <c r="B97" s="825"/>
      <c r="C97" s="893" t="str">
        <f>IFERROR(__xludf.DUMMYFUNCTION("""COMPUTED_VALUE"""),"November")</f>
        <v>November</v>
      </c>
      <c r="D97" s="825"/>
      <c r="E97" s="811" t="s">
        <v>945</v>
      </c>
      <c r="F97" s="812">
        <v>24.0</v>
      </c>
      <c r="G97" s="897" t="str">
        <f>IFERROR(__xludf.DUMMYFUNCTION("""COMPUTED_VALUE"""),"Kekayaan Intelektual")</f>
        <v>Kekayaan Intelektual</v>
      </c>
      <c r="H97" s="898">
        <f>IFERROR(__xludf.DUMMYFUNCTION("""COMPUTED_VALUE"""),0.0)</f>
        <v>0</v>
      </c>
      <c r="I97" s="899">
        <f>IFERROR(__xludf.DUMMYFUNCTION("""COMPUTED_VALUE"""),0.0)</f>
        <v>0</v>
      </c>
      <c r="J97" s="900" t="str">
        <f>IFERROR(__xludf.DUMMYFUNCTION("""COMPUTED_VALUE"""),"Kekayaan Intelektual")</f>
        <v>Kekayaan Intelektual</v>
      </c>
      <c r="K97" s="901"/>
      <c r="L97" s="894"/>
      <c r="M97" s="843" t="str">
        <f>IFERROR(__xludf.DUMMYFUNCTION("""COMPUTED_VALUE"""),"PATEN")</f>
        <v>PATEN</v>
      </c>
      <c r="N97" s="829"/>
      <c r="O97" s="843" t="str">
        <f>IFERROR(__xludf.DUMMYFUNCTION("""COMPUTED_VALUE"""),"HAK CIPTA")</f>
        <v>HAK CIPTA</v>
      </c>
      <c r="P97" s="829"/>
      <c r="Q97" s="843" t="str">
        <f>IFERROR(__xludf.DUMMYFUNCTION("""COMPUTED_VALUE"""),"DESAIN INDUSTRI")</f>
        <v>DESAIN INDUSTRI</v>
      </c>
      <c r="R97" s="829"/>
      <c r="S97" s="903"/>
      <c r="U97" s="895"/>
      <c r="V97" s="895"/>
      <c r="W97" s="895"/>
      <c r="X97" s="895"/>
    </row>
    <row r="98">
      <c r="A98" s="822"/>
      <c r="B98" s="825"/>
      <c r="C98" s="893" t="str">
        <f>IFERROR(__xludf.DUMMYFUNCTION("""COMPUTED_VALUE"""),"Desember")</f>
        <v>Desember</v>
      </c>
      <c r="D98" s="825"/>
      <c r="E98" s="823"/>
      <c r="F98" s="825"/>
      <c r="G98" s="825"/>
      <c r="H98" s="825"/>
      <c r="I98" s="825"/>
      <c r="J98" s="825"/>
      <c r="K98" s="825"/>
      <c r="L98" s="894"/>
      <c r="M98" s="845" t="str">
        <f>IFERROR(__xludf.DUMMYFUNCTION("""COMPUTED_VALUE"""),"Terdaftar DJKI")</f>
        <v>Terdaftar DJKI</v>
      </c>
      <c r="N98" s="845" t="str">
        <f>IFERROR(__xludf.DUMMYFUNCTION("""COMPUTED_VALUE"""),"Tersertifikasi")</f>
        <v>Tersertifikasi</v>
      </c>
      <c r="O98" s="845" t="str">
        <f>IFERROR(__xludf.DUMMYFUNCTION("""COMPUTED_VALUE"""),"Terdaftar DJKI")</f>
        <v>Terdaftar DJKI</v>
      </c>
      <c r="P98" s="845" t="str">
        <f>IFERROR(__xludf.DUMMYFUNCTION("""COMPUTED_VALUE"""),"Tersertifikasi")</f>
        <v>Tersertifikasi</v>
      </c>
      <c r="Q98" s="845" t="str">
        <f>IFERROR(__xludf.DUMMYFUNCTION("""COMPUTED_VALUE"""),"Terdaftar DJKI")</f>
        <v>Terdaftar DJKI</v>
      </c>
      <c r="R98" s="845" t="str">
        <f>IFERROR(__xludf.DUMMYFUNCTION("""COMPUTED_VALUE"""),"Tersertifikasi")</f>
        <v>Tersertifikasi</v>
      </c>
      <c r="S98" s="895"/>
      <c r="T98" s="895"/>
      <c r="U98" s="895"/>
      <c r="V98" s="895"/>
      <c r="W98" s="895"/>
      <c r="X98" s="895"/>
    </row>
    <row r="99">
      <c r="A99" s="822"/>
      <c r="B99" s="825"/>
      <c r="C99" s="893" t="str">
        <f>IFERROR(__xludf.DUMMYFUNCTION("""COMPUTED_VALUE"""),"Januari")</f>
        <v>Januari</v>
      </c>
      <c r="D99" s="825"/>
      <c r="E99" s="400"/>
      <c r="F99" s="829"/>
      <c r="G99" s="829"/>
      <c r="H99" s="829"/>
      <c r="I99" s="829"/>
      <c r="J99" s="829"/>
      <c r="K99" s="829"/>
      <c r="L99" s="894"/>
      <c r="M99" s="830">
        <f>IFERROR(__xludf.DUMMYFUNCTION("""COMPUTED_VALUE"""),0.0)</f>
        <v>0</v>
      </c>
      <c r="N99" s="830">
        <f>IFERROR(__xludf.DUMMYFUNCTION("""COMPUTED_VALUE"""),0.0)</f>
        <v>0</v>
      </c>
      <c r="O99" s="830">
        <f>IFERROR(__xludf.DUMMYFUNCTION("""COMPUTED_VALUE"""),0.0)</f>
        <v>0</v>
      </c>
      <c r="P99" s="830">
        <f>IFERROR(__xludf.DUMMYFUNCTION("""COMPUTED_VALUE"""),0.0)</f>
        <v>0</v>
      </c>
      <c r="Q99" s="830">
        <f>IFERROR(__xludf.DUMMYFUNCTION("""COMPUTED_VALUE"""),0.0)</f>
        <v>0</v>
      </c>
      <c r="R99" s="830">
        <f>IFERROR(__xludf.DUMMYFUNCTION("""COMPUTED_VALUE"""),0.0)</f>
        <v>0</v>
      </c>
      <c r="S99" s="904"/>
      <c r="T99" s="904"/>
      <c r="U99" s="904"/>
      <c r="V99" s="904"/>
      <c r="W99" s="904"/>
      <c r="X99" s="895"/>
    </row>
    <row r="100">
      <c r="A100" s="822"/>
      <c r="B100" s="825"/>
      <c r="C100" s="893" t="str">
        <f>IFERROR(__xludf.DUMMYFUNCTION("""COMPUTED_VALUE"""),"Februari")</f>
        <v>Februari</v>
      </c>
      <c r="D100" s="825"/>
      <c r="E100" s="811" t="s">
        <v>946</v>
      </c>
      <c r="F100" s="847">
        <v>2.2E9</v>
      </c>
      <c r="G100" s="897" t="str">
        <f>IFERROR(__xludf.DUMMYFUNCTION("""COMPUTED_VALUE"""),"Rupiah")</f>
        <v>Rupiah</v>
      </c>
      <c r="H100" s="905">
        <f>IFERROR(__xludf.DUMMYFUNCTION("""COMPUTED_VALUE"""),2.34E8)</f>
        <v>234000000</v>
      </c>
      <c r="I100" s="899">
        <f>IFERROR(__xludf.DUMMYFUNCTION("""COMPUTED_VALUE"""),0.10636363636363637)</f>
        <v>0.1063636364</v>
      </c>
      <c r="J100" s="900" t="str">
        <f>IFERROR(__xludf.DUMMYFUNCTION("""COMPUTED_VALUE"""),"Rupiah")</f>
        <v>Rupiah</v>
      </c>
      <c r="K100" s="901"/>
      <c r="L100" s="894"/>
      <c r="M100" s="849" t="str">
        <f>IFERROR(__xludf.DUMMYFUNCTION("""COMPUTED_VALUE"""),"PNBP")</f>
        <v>PNBP</v>
      </c>
      <c r="N100" s="849" t="str">
        <f>IFERROR(__xludf.DUMMYFUNCTION("""COMPUTED_VALUE"""),"HIBAH")</f>
        <v>HIBAH</v>
      </c>
      <c r="O100" s="849" t="str">
        <f>IFERROR(__xludf.DUMMYFUNCTION("""COMPUTED_VALUE"""),"MITRA/UNV")</f>
        <v>MITRA/UNV</v>
      </c>
      <c r="P100" s="849" t="str">
        <f>IFERROR(__xludf.DUMMYFUNCTION("""COMPUTED_VALUE"""),"POSTDOC")</f>
        <v>POSTDOC</v>
      </c>
      <c r="Q100" s="849" t="str">
        <f>IFERROR(__xludf.DUMMYFUNCTION("""COMPUTED_VALUE"""),"VISITING RSRCH")</f>
        <v>VISITING RSRCH</v>
      </c>
      <c r="R100" s="849" t="str">
        <f>IFERROR(__xludf.DUMMYFUNCTION("""COMPUTED_VALUE"""),"RIMM")</f>
        <v>RIMM</v>
      </c>
      <c r="S100" s="849" t="str">
        <f>IFERROR(__xludf.DUMMYFUNCTION("""COMPUTED_VALUE"""),"LISENSI")</f>
        <v>LISENSI</v>
      </c>
      <c r="T100" s="851" t="str">
        <f>IFERROR(__xludf.DUMMYFUNCTION("""COMPUTED_VALUE"""),"DALAM NEGERI")</f>
        <v>DALAM NEGERI</v>
      </c>
      <c r="U100" s="851" t="str">
        <f>IFERROR(__xludf.DUMMYFUNCTION("""COMPUTED_VALUE"""),"LUAR NEGERI")</f>
        <v>LUAR NEGERI</v>
      </c>
      <c r="V100" s="906" t="str">
        <f>IFERROR(__xludf.DUMMYFUNCTION("""COMPUTED_VALUE"""),"IN CASH")</f>
        <v>IN CASH</v>
      </c>
      <c r="W100" s="906" t="str">
        <f>IFERROR(__xludf.DUMMYFUNCTION("""COMPUTED_VALUE"""),"IN KIND")</f>
        <v>IN KIND</v>
      </c>
      <c r="X100" s="907"/>
    </row>
    <row r="101">
      <c r="A101" s="822"/>
      <c r="B101" s="825"/>
      <c r="C101" s="893" t="str">
        <f>IFERROR(__xludf.DUMMYFUNCTION("""COMPUTED_VALUE"""),"Maret")</f>
        <v>Maret</v>
      </c>
      <c r="D101" s="825"/>
      <c r="E101" s="400"/>
      <c r="F101" s="829"/>
      <c r="G101" s="829"/>
      <c r="H101" s="829"/>
      <c r="I101" s="829"/>
      <c r="J101" s="829"/>
      <c r="K101" s="829"/>
      <c r="L101" s="894"/>
      <c r="M101" s="853">
        <f>IFERROR(__xludf.DUMMYFUNCTION("""COMPUTED_VALUE"""),0.0)</f>
        <v>0</v>
      </c>
      <c r="N101" s="853">
        <f>IFERROR(__xludf.DUMMYFUNCTION("""COMPUTED_VALUE"""),0.0)</f>
        <v>0</v>
      </c>
      <c r="O101" s="853">
        <f>IFERROR(__xludf.DUMMYFUNCTION("""COMPUTED_VALUE"""),0.0)</f>
        <v>0</v>
      </c>
      <c r="P101" s="853">
        <f>IFERROR(__xludf.DUMMYFUNCTION("""COMPUTED_VALUE"""),0.0)</f>
        <v>0</v>
      </c>
      <c r="Q101" s="853">
        <f>IFERROR(__xludf.DUMMYFUNCTION("""COMPUTED_VALUE"""),0.0)</f>
        <v>0</v>
      </c>
      <c r="R101" s="853">
        <f>IFERROR(__xludf.DUMMYFUNCTION("""COMPUTED_VALUE"""),4.68E8)</f>
        <v>468000000</v>
      </c>
      <c r="S101" s="853">
        <f>IFERROR(__xludf.DUMMYFUNCTION("""COMPUTED_VALUE"""),0.0)</f>
        <v>0</v>
      </c>
      <c r="T101" s="853">
        <f>IFERROR(__xludf.DUMMYFUNCTION("""COMPUTED_VALUE"""),4.68E8)</f>
        <v>468000000</v>
      </c>
      <c r="U101" s="853">
        <f>IFERROR(__xludf.DUMMYFUNCTION("""COMPUTED_VALUE"""),0.0)</f>
        <v>0</v>
      </c>
      <c r="V101" s="853">
        <f>IFERROR(__xludf.DUMMYFUNCTION("""COMPUTED_VALUE"""),4.68E8)</f>
        <v>468000000</v>
      </c>
      <c r="W101" s="853">
        <f>IFERROR(__xludf.DUMMYFUNCTION("""COMPUTED_VALUE"""),0.0)</f>
        <v>0</v>
      </c>
      <c r="X101" s="908"/>
    </row>
    <row r="102">
      <c r="A102" s="822"/>
      <c r="B102" s="825"/>
      <c r="C102" s="893" t="str">
        <f>IFERROR(__xludf.DUMMYFUNCTION("""COMPUTED_VALUE"""),"April")</f>
        <v>April</v>
      </c>
      <c r="D102" s="825"/>
      <c r="E102" s="811" t="s">
        <v>947</v>
      </c>
      <c r="F102" s="812">
        <v>17.0</v>
      </c>
      <c r="G102" s="897" t="str">
        <f>IFERROR(__xludf.DUMMYFUNCTION("""COMPUTED_VALUE"""),"Kerjasama")</f>
        <v>Kerjasama</v>
      </c>
      <c r="H102" s="898">
        <f>IFERROR(__xludf.DUMMYFUNCTION("""COMPUTED_VALUE"""),0.0)</f>
        <v>0</v>
      </c>
      <c r="I102" s="899">
        <f>IFERROR(__xludf.DUMMYFUNCTION("""COMPUTED_VALUE"""),0.0)</f>
        <v>0</v>
      </c>
      <c r="J102" s="900" t="str">
        <f>IFERROR(__xludf.DUMMYFUNCTION("""COMPUTED_VALUE"""),"Kerjasama")</f>
        <v>Kerjasama</v>
      </c>
      <c r="K102" s="901"/>
      <c r="L102" s="894"/>
      <c r="M102" s="849" t="str">
        <f>IFERROR(__xludf.DUMMYFUNCTION("""COMPUTED_VALUE"""),"PNBP")</f>
        <v>PNBP</v>
      </c>
      <c r="N102" s="849" t="str">
        <f>IFERROR(__xludf.DUMMYFUNCTION("""COMPUTED_VALUE"""),"HIBAH")</f>
        <v>HIBAH</v>
      </c>
      <c r="O102" s="849" t="str">
        <f>IFERROR(__xludf.DUMMYFUNCTION("""COMPUTED_VALUE"""),"LISENSI")</f>
        <v>LISENSI</v>
      </c>
      <c r="P102" s="851" t="str">
        <f>IFERROR(__xludf.DUMMYFUNCTION("""COMPUTED_VALUE"""),"DALAM NEGERI")</f>
        <v>DALAM NEGERI</v>
      </c>
      <c r="Q102" s="851" t="str">
        <f>IFERROR(__xludf.DUMMYFUNCTION("""COMPUTED_VALUE"""),"LUAR NEGERI")</f>
        <v>LUAR NEGERI</v>
      </c>
      <c r="R102" s="895"/>
      <c r="S102" s="895"/>
      <c r="T102" s="895"/>
      <c r="U102" s="895"/>
      <c r="V102" s="895"/>
      <c r="W102" s="895"/>
      <c r="X102" s="895"/>
    </row>
    <row r="103">
      <c r="A103" s="822"/>
      <c r="B103" s="825"/>
      <c r="C103" s="893" t="str">
        <f>IFERROR(__xludf.DUMMYFUNCTION("""COMPUTED_VALUE"""),"Mei")</f>
        <v>Mei</v>
      </c>
      <c r="D103" s="825"/>
      <c r="E103" s="400"/>
      <c r="F103" s="829"/>
      <c r="G103" s="829"/>
      <c r="H103" s="829"/>
      <c r="I103" s="829"/>
      <c r="J103" s="829"/>
      <c r="K103" s="829"/>
      <c r="L103" s="894"/>
      <c r="M103" s="830">
        <f>IFERROR(__xludf.DUMMYFUNCTION("""COMPUTED_VALUE"""),0.0)</f>
        <v>0</v>
      </c>
      <c r="N103" s="830">
        <f>IFERROR(__xludf.DUMMYFUNCTION("""COMPUTED_VALUE"""),0.0)</f>
        <v>0</v>
      </c>
      <c r="O103" s="830">
        <f>IFERROR(__xludf.DUMMYFUNCTION("""COMPUTED_VALUE"""),0.0)</f>
        <v>0</v>
      </c>
      <c r="P103" s="854">
        <f>IFERROR(__xludf.DUMMYFUNCTION("""COMPUTED_VALUE"""),0.0)</f>
        <v>0</v>
      </c>
      <c r="Q103" s="854">
        <f>IFERROR(__xludf.DUMMYFUNCTION("""COMPUTED_VALUE"""),0.0)</f>
        <v>0</v>
      </c>
      <c r="R103" s="909"/>
      <c r="S103" s="909"/>
      <c r="T103" s="895"/>
      <c r="U103" s="910"/>
      <c r="V103" s="910"/>
      <c r="W103" s="910"/>
      <c r="X103" s="910"/>
    </row>
    <row r="104">
      <c r="A104" s="822"/>
      <c r="B104" s="825"/>
      <c r="C104" s="893" t="str">
        <f>IFERROR(__xludf.DUMMYFUNCTION("""COMPUTED_VALUE"""),"Juni")</f>
        <v>Juni</v>
      </c>
      <c r="D104" s="825"/>
      <c r="E104" s="811" t="s">
        <v>948</v>
      </c>
      <c r="F104" s="812">
        <v>26.0</v>
      </c>
      <c r="G104" s="897" t="str">
        <f>IFERROR(__xludf.DUMMYFUNCTION("""COMPUTED_VALUE"""),"Pegawai")</f>
        <v>Pegawai</v>
      </c>
      <c r="H104" s="911">
        <f>IFERROR(__xludf.DUMMYFUNCTION("""COMPUTED_VALUE"""),0.0)</f>
        <v>0</v>
      </c>
      <c r="I104" s="899">
        <f>IFERROR(__xludf.DUMMYFUNCTION("""COMPUTED_VALUE"""),0.0)</f>
        <v>0</v>
      </c>
      <c r="J104" s="900" t="str">
        <f>IFERROR(__xludf.DUMMYFUNCTION("""COMPUTED_VALUE"""),"Pegawai")</f>
        <v>Pegawai</v>
      </c>
      <c r="K104" s="901"/>
      <c r="L104" s="894"/>
      <c r="M104" s="849" t="str">
        <f>IFERROR(__xludf.DUMMYFUNCTION("""COMPUTED_VALUE"""),"S2")</f>
        <v>S2</v>
      </c>
      <c r="N104" s="849" t="str">
        <f>IFERROR(__xludf.DUMMYFUNCTION("""COMPUTED_VALUE"""),"S3")</f>
        <v>S3</v>
      </c>
      <c r="O104" s="857" t="str">
        <f>IFERROR(__xludf.DUMMYFUNCTION("""COMPUTED_VALUE"""),"IJIN BELAJAR")</f>
        <v>IJIN BELAJAR</v>
      </c>
      <c r="P104" s="912" t="str">
        <f>IFERROR(__xludf.DUMMYFUNCTION("""COMPUTED_VALUE"""),"TUGAS BELAJAR")</f>
        <v>TUGAS BELAJAR</v>
      </c>
      <c r="Q104" s="910"/>
      <c r="R104" s="910"/>
      <c r="S104" s="910"/>
      <c r="T104" s="910"/>
      <c r="U104" s="910"/>
      <c r="V104" s="910"/>
      <c r="W104" s="910"/>
      <c r="X104" s="910"/>
    </row>
    <row r="105">
      <c r="A105" s="822"/>
      <c r="B105" s="825"/>
      <c r="C105" s="893" t="str">
        <f>IFERROR(__xludf.DUMMYFUNCTION("""COMPUTED_VALUE"""),"Juli")</f>
        <v>Juli</v>
      </c>
      <c r="D105" s="825"/>
      <c r="E105" s="400"/>
      <c r="F105" s="829"/>
      <c r="G105" s="829"/>
      <c r="H105" s="829"/>
      <c r="I105" s="829"/>
      <c r="J105" s="829"/>
      <c r="K105" s="829"/>
      <c r="L105" s="894"/>
      <c r="M105" s="830">
        <f>IFERROR(__xludf.DUMMYFUNCTION("""COMPUTED_VALUE"""),0.0)</f>
        <v>0</v>
      </c>
      <c r="N105" s="830">
        <f>IFERROR(__xludf.DUMMYFUNCTION("""COMPUTED_VALUE"""),0.0)</f>
        <v>0</v>
      </c>
      <c r="O105" s="830">
        <f>IFERROR(__xludf.DUMMYFUNCTION("""COMPUTED_VALUE"""),0.0)</f>
        <v>0</v>
      </c>
      <c r="P105" s="830">
        <f>IFERROR(__xludf.DUMMYFUNCTION("""COMPUTED_VALUE"""),0.0)</f>
        <v>0</v>
      </c>
      <c r="Q105" s="913"/>
      <c r="R105" s="913"/>
      <c r="S105" s="910"/>
      <c r="T105" s="910"/>
      <c r="U105" s="910"/>
      <c r="V105" s="910"/>
      <c r="W105" s="910"/>
      <c r="X105" s="910"/>
    </row>
    <row r="106">
      <c r="A106" s="822"/>
      <c r="B106" s="825"/>
      <c r="C106" s="893" t="str">
        <f>IFERROR(__xludf.DUMMYFUNCTION("""COMPUTED_VALUE"""),"Agustus")</f>
        <v>Agustus</v>
      </c>
      <c r="D106" s="825"/>
      <c r="E106" s="811" t="s">
        <v>949</v>
      </c>
      <c r="F106" s="812">
        <v>5.0</v>
      </c>
      <c r="G106" s="897" t="str">
        <f>IFERROR(__xludf.DUMMYFUNCTION("""COMPUTED_VALUE"""),"Peserta")</f>
        <v>Peserta</v>
      </c>
      <c r="H106" s="911">
        <f>IFERROR(__xludf.DUMMYFUNCTION("""COMPUTED_VALUE"""),0.0)</f>
        <v>0</v>
      </c>
      <c r="I106" s="899">
        <f>IFERROR(__xludf.DUMMYFUNCTION("""COMPUTED_VALUE"""),0.0)</f>
        <v>0</v>
      </c>
      <c r="J106" s="900" t="str">
        <f>IFERROR(__xludf.DUMMYFUNCTION("""COMPUTED_VALUE"""),"Peserta")</f>
        <v>Peserta</v>
      </c>
      <c r="K106" s="901"/>
      <c r="L106" s="894"/>
      <c r="M106" s="843" t="str">
        <f>IFERROR(__xludf.DUMMYFUNCTION("""COMPUTED_VALUE"""),"POSTDOCTORAL")</f>
        <v>POSTDOCTORAL</v>
      </c>
      <c r="N106" s="829"/>
      <c r="O106" s="843" t="str">
        <f>IFERROR(__xludf.DUMMYFUNCTION("""COMPUTED_VALUE"""),"VISITING RESEARCH")</f>
        <v>VISITING RESEARCH</v>
      </c>
      <c r="P106" s="829"/>
      <c r="Q106" s="914" t="str">
        <f>IFERROR(__xludf.DUMMYFUNCTION("""COMPUTED_VALUE"""),"PUBLIKASI")</f>
        <v>PUBLIKASI</v>
      </c>
      <c r="R106" s="829"/>
      <c r="S106" s="910"/>
      <c r="T106" s="910"/>
      <c r="U106" s="910"/>
      <c r="V106" s="910"/>
      <c r="W106" s="910"/>
      <c r="X106" s="910"/>
    </row>
    <row r="107">
      <c r="A107" s="822"/>
      <c r="B107" s="825"/>
      <c r="C107" s="893" t="str">
        <f>IFERROR(__xludf.DUMMYFUNCTION("""COMPUTED_VALUE"""),"September")</f>
        <v>September</v>
      </c>
      <c r="D107" s="825"/>
      <c r="E107" s="823"/>
      <c r="F107" s="825"/>
      <c r="G107" s="825"/>
      <c r="H107" s="825"/>
      <c r="I107" s="825"/>
      <c r="J107" s="825"/>
      <c r="K107" s="825"/>
      <c r="L107" s="894"/>
      <c r="M107" s="827" t="str">
        <f>IFERROR(__xludf.DUMMYFUNCTION("""COMPUTED_VALUE"""),"Dalam Negeri")</f>
        <v>Dalam Negeri</v>
      </c>
      <c r="N107" s="827" t="str">
        <f>IFERROR(__xludf.DUMMYFUNCTION("""COMPUTED_VALUE"""),"Luar Negeri")</f>
        <v>Luar Negeri</v>
      </c>
      <c r="O107" s="827" t="str">
        <f>IFERROR(__xludf.DUMMYFUNCTION("""COMPUTED_VALUE"""),"Dalam Negeri")</f>
        <v>Dalam Negeri</v>
      </c>
      <c r="P107" s="827" t="str">
        <f>IFERROR(__xludf.DUMMYFUNCTION("""COMPUTED_VALUE"""),"Luar Negeri")</f>
        <v>Luar Negeri</v>
      </c>
      <c r="Q107" s="861" t="str">
        <f>IFERROR(__xludf.DUMMYFUNCTION("""COMPUTED_VALUE"""),"Dalam Negeri")</f>
        <v>Dalam Negeri</v>
      </c>
      <c r="R107" s="861" t="str">
        <f>IFERROR(__xludf.DUMMYFUNCTION("""COMPUTED_VALUE"""),"Luar Negeri")</f>
        <v>Luar Negeri</v>
      </c>
      <c r="S107" s="910"/>
      <c r="T107" s="910"/>
      <c r="U107" s="910"/>
      <c r="V107" s="910"/>
      <c r="W107" s="910"/>
      <c r="X107" s="910"/>
    </row>
    <row r="108">
      <c r="A108" s="822"/>
      <c r="B108" s="825"/>
      <c r="C108" s="893" t="str">
        <f>IFERROR(__xludf.DUMMYFUNCTION("""COMPUTED_VALUE"""),"Oktober")</f>
        <v>Oktober</v>
      </c>
      <c r="D108" s="875"/>
      <c r="E108" s="874"/>
      <c r="F108" s="863"/>
      <c r="G108" s="875"/>
      <c r="H108" s="875"/>
      <c r="I108" s="875"/>
      <c r="J108" s="875"/>
      <c r="K108" s="875"/>
      <c r="L108" s="915"/>
      <c r="M108" s="916">
        <f>IFERROR(__xludf.DUMMYFUNCTION("""COMPUTED_VALUE"""),0.0)</f>
        <v>0</v>
      </c>
      <c r="N108" s="916">
        <f>IFERROR(__xludf.DUMMYFUNCTION("""COMPUTED_VALUE"""),0.0)</f>
        <v>0</v>
      </c>
      <c r="O108" s="916">
        <f>IFERROR(__xludf.DUMMYFUNCTION("""COMPUTED_VALUE"""),0.0)</f>
        <v>0</v>
      </c>
      <c r="P108" s="916">
        <f>IFERROR(__xludf.DUMMYFUNCTION("""COMPUTED_VALUE"""),0.0)</f>
        <v>0</v>
      </c>
      <c r="Q108" s="916">
        <f>IFERROR(__xludf.DUMMYFUNCTION("""COMPUTED_VALUE"""),0.0)</f>
        <v>0</v>
      </c>
      <c r="R108" s="916">
        <f>IFERROR(__xludf.DUMMYFUNCTION("""COMPUTED_VALUE"""),0.0)</f>
        <v>0</v>
      </c>
      <c r="S108" s="910"/>
      <c r="T108" s="910"/>
      <c r="U108" s="910"/>
      <c r="V108" s="910"/>
      <c r="W108" s="910"/>
      <c r="X108" s="910"/>
    </row>
    <row r="109">
      <c r="A109" s="822"/>
      <c r="B109" s="825"/>
      <c r="C109" s="893" t="str">
        <f>IFERROR(__xludf.DUMMYFUNCTION("""COMPUTED_VALUE"""),"November")</f>
        <v>November</v>
      </c>
      <c r="D109" s="917" t="str">
        <f>IFERROR(__xludf.DUMMYFUNCTION("""COMPUTED_VALUE"""),"Capaian Lainnya")</f>
        <v>Capaian Lainnya</v>
      </c>
      <c r="E109" s="867" t="s">
        <v>950</v>
      </c>
      <c r="F109" s="868"/>
      <c r="G109" s="918" t="str">
        <f>IFERROR(__xludf.DUMMYFUNCTION("""COMPUTED_VALUE"""),"Sitasi")</f>
        <v>Sitasi</v>
      </c>
      <c r="H109" s="919">
        <f>IFERROR(__xludf.DUMMYFUNCTION("""COMPUTED_VALUE"""),561.0)</f>
        <v>561</v>
      </c>
      <c r="I109" s="920"/>
      <c r="J109" s="921" t="str">
        <f>IFERROR(__xludf.DUMMYFUNCTION("""COMPUTED_VALUE"""),"Sitasi")</f>
        <v>Sitasi</v>
      </c>
      <c r="K109" s="922"/>
      <c r="L109" s="923"/>
      <c r="M109" s="849" t="str">
        <f>IFERROR(__xludf.DUMMYFUNCTION("""COMPUTED_VALUE"""),"DOK PUBLISHED")</f>
        <v>DOK PUBLISHED</v>
      </c>
      <c r="N109" s="849" t="str">
        <f>IFERROR(__xludf.DUMMYFUNCTION("""COMPUTED_VALUE"""),"SITASI")</f>
        <v>SITASI</v>
      </c>
      <c r="O109" s="910"/>
      <c r="P109" s="910"/>
      <c r="Q109" s="910"/>
      <c r="R109" s="910"/>
      <c r="S109" s="910"/>
      <c r="T109" s="910"/>
      <c r="U109" s="910"/>
      <c r="V109" s="910"/>
      <c r="W109" s="910"/>
      <c r="X109" s="910"/>
    </row>
    <row r="110">
      <c r="A110" s="822"/>
      <c r="B110" s="825"/>
      <c r="C110" s="893" t="str">
        <f>IFERROR(__xludf.DUMMYFUNCTION("""COMPUTED_VALUE"""),"Desember")</f>
        <v>Desember</v>
      </c>
      <c r="D110" s="825"/>
      <c r="E110" s="874"/>
      <c r="F110" s="875"/>
      <c r="G110" s="875"/>
      <c r="H110" s="875"/>
      <c r="I110" s="875"/>
      <c r="J110" s="875"/>
      <c r="K110" s="875"/>
      <c r="L110" s="894"/>
      <c r="M110" s="830">
        <f>IFERROR(__xludf.DUMMYFUNCTION("""COMPUTED_VALUE"""),0.0)</f>
        <v>0</v>
      </c>
      <c r="N110" s="830">
        <f>IFERROR(__xludf.DUMMYFUNCTION("""COMPUTED_VALUE"""),0.0)</f>
        <v>0</v>
      </c>
      <c r="O110" s="910"/>
      <c r="P110" s="910"/>
      <c r="Q110" s="910"/>
      <c r="R110" s="910"/>
      <c r="S110" s="910"/>
      <c r="T110" s="910"/>
      <c r="U110" s="910"/>
      <c r="V110" s="910"/>
      <c r="W110" s="910"/>
      <c r="X110" s="910"/>
    </row>
    <row r="111">
      <c r="A111" s="822"/>
      <c r="B111" s="825"/>
      <c r="C111" s="893" t="str">
        <f>IFERROR(__xludf.DUMMYFUNCTION("""COMPUTED_VALUE"""),"Januari")</f>
        <v>Januari</v>
      </c>
      <c r="D111" s="825"/>
      <c r="E111" s="867" t="s">
        <v>951</v>
      </c>
      <c r="F111" s="868"/>
      <c r="G111" s="924" t="str">
        <f>IFERROR(__xludf.DUMMYFUNCTION("""COMPUTED_VALUE"""),"Publikasi Nasional")</f>
        <v>Publikasi Nasional</v>
      </c>
      <c r="H111" s="925">
        <f>IFERROR(__xludf.DUMMYFUNCTION("""COMPUTED_VALUE"""),0.0)</f>
        <v>0</v>
      </c>
      <c r="I111" s="926"/>
      <c r="J111" s="927" t="str">
        <f>IFERROR(__xludf.DUMMYFUNCTION("""COMPUTED_VALUE"""),"Publikasi Nasional")</f>
        <v>Publikasi Nasional</v>
      </c>
      <c r="K111" s="928"/>
      <c r="L111" s="894"/>
      <c r="M111" s="910"/>
      <c r="N111" s="910"/>
      <c r="O111" s="910"/>
      <c r="P111" s="910"/>
      <c r="Q111" s="910"/>
      <c r="R111" s="910"/>
      <c r="S111" s="910"/>
      <c r="T111" s="910"/>
      <c r="U111" s="910"/>
      <c r="V111" s="910"/>
      <c r="W111" s="910"/>
      <c r="X111" s="910"/>
    </row>
    <row r="112">
      <c r="A112" s="673"/>
      <c r="B112" s="881"/>
      <c r="C112" s="929" t="str">
        <f>IFERROR(__xludf.DUMMYFUNCTION("""COMPUTED_VALUE"""),"Februari")</f>
        <v>Februari</v>
      </c>
      <c r="D112" s="881"/>
      <c r="E112" s="674"/>
      <c r="F112" s="881"/>
      <c r="G112" s="881"/>
      <c r="H112" s="881"/>
      <c r="I112" s="881"/>
      <c r="J112" s="881"/>
      <c r="K112" s="881"/>
      <c r="L112" s="930"/>
      <c r="M112" s="910"/>
      <c r="N112" s="910"/>
      <c r="O112" s="910"/>
      <c r="P112" s="910"/>
      <c r="Q112" s="910"/>
      <c r="R112" s="910"/>
      <c r="S112" s="910"/>
      <c r="T112" s="910"/>
      <c r="U112" s="910"/>
      <c r="V112" s="910"/>
      <c r="W112" s="910"/>
      <c r="X112" s="910"/>
    </row>
    <row r="113">
      <c r="A113" s="807">
        <f>IFERROR(__xludf.DUMMYFUNCTION("""COMPUTED_VALUE"""),6.0)</f>
        <v>6</v>
      </c>
      <c r="B113" s="883" t="str">
        <f>IFERROR(__xludf.DUMMYFUNCTION("""COMPUTED_VALUE"""),"Triwulan II")</f>
        <v>Triwulan II</v>
      </c>
      <c r="C113" s="884" t="str">
        <f>IFERROR(__xludf.DUMMYFUNCTION("""COMPUTED_VALUE"""),"Triwulan II")</f>
        <v>Triwulan II</v>
      </c>
      <c r="D113" s="931" t="str">
        <f>IFERROR(__xludf.DUMMYFUNCTION("""COMPUTED_VALUE"""),"Terselenggaranya riset dan inovasi di bidang elektronikan dan informatika")</f>
        <v>Terselenggaranya riset dan inovasi di bidang elektronikan dan informatika</v>
      </c>
      <c r="E113" s="811" t="s">
        <v>943</v>
      </c>
      <c r="F113" s="812">
        <v>2.0</v>
      </c>
      <c r="G113" s="932" t="str">
        <f>IFERROR(__xludf.DUMMYFUNCTION("""COMPUTED_VALUE"""),"Purwarupa")</f>
        <v>Purwarupa</v>
      </c>
      <c r="H113" s="887">
        <f>IFERROR(__xludf.DUMMYFUNCTION("""COMPUTED_VALUE"""),0.0)</f>
        <v>0</v>
      </c>
      <c r="I113" s="888">
        <f>IFERROR(__xludf.DUMMYFUNCTION("""COMPUTED_VALUE"""),0.0)</f>
        <v>0</v>
      </c>
      <c r="J113" s="933" t="str">
        <f>IFERROR(__xludf.DUMMYFUNCTION("""COMPUTED_VALUE"""),"Purwarupa")</f>
        <v>Purwarupa</v>
      </c>
      <c r="K113" s="934"/>
      <c r="L113" s="891">
        <f>IFERROR(__xludf.DUMMYFUNCTION("""COMPUTED_VALUE"""),0.0969988344988345)</f>
        <v>0.0969988345</v>
      </c>
      <c r="M113" s="819" t="str">
        <f>IFERROR(__xludf.DUMMYFUNCTION("""COMPUTED_VALUE"""),"HARDWARE PROTOTYPE")</f>
        <v>HARDWARE PROTOTYPE</v>
      </c>
      <c r="N113" s="820"/>
      <c r="O113" s="819" t="str">
        <f>IFERROR(__xludf.DUMMYFUNCTION("""COMPUTED_VALUE"""),"SOFTWARE PROTOTYPE")</f>
        <v>SOFTWARE PROTOTYPE</v>
      </c>
      <c r="P113" s="820"/>
      <c r="Q113" s="819" t="str">
        <f>IFERROR(__xludf.DUMMYFUNCTION("""COMPUTED_VALUE"""),"DESAIN PROTOTYPE")</f>
        <v>DESAIN PROTOTYPE</v>
      </c>
      <c r="R113" s="820"/>
      <c r="S113" s="935"/>
      <c r="T113" s="935"/>
      <c r="U113" s="935"/>
      <c r="V113" s="935"/>
      <c r="W113" s="935"/>
      <c r="X113" s="935"/>
    </row>
    <row r="114">
      <c r="A114" s="822"/>
      <c r="B114" s="825"/>
      <c r="C114" s="893" t="str">
        <f>IFERROR(__xludf.DUMMYFUNCTION("""COMPUTED_VALUE"""),"Triwulan II")</f>
        <v>Triwulan II</v>
      </c>
      <c r="D114" s="825"/>
      <c r="E114" s="823"/>
      <c r="F114" s="825"/>
      <c r="G114" s="825"/>
      <c r="H114" s="825"/>
      <c r="I114" s="825"/>
      <c r="J114" s="825"/>
      <c r="K114" s="825"/>
      <c r="L114" s="894"/>
      <c r="M114" s="827" t="str">
        <f>IFERROR(__xludf.DUMMYFUNCTION("""COMPUTED_VALUE"""),"Selesai")</f>
        <v>Selesai</v>
      </c>
      <c r="N114" s="827" t="str">
        <f>IFERROR(__xludf.DUMMYFUNCTION("""COMPUTED_VALUE"""),"Skala Uji Lab")</f>
        <v>Skala Uji Lab</v>
      </c>
      <c r="O114" s="827" t="str">
        <f>IFERROR(__xludf.DUMMYFUNCTION("""COMPUTED_VALUE"""),"Selesai")</f>
        <v>Selesai</v>
      </c>
      <c r="P114" s="827" t="str">
        <f>IFERROR(__xludf.DUMMYFUNCTION("""COMPUTED_VALUE"""),"Skala Uji Lab")</f>
        <v>Skala Uji Lab</v>
      </c>
      <c r="Q114" s="827" t="str">
        <f>IFERROR(__xludf.DUMMYFUNCTION("""COMPUTED_VALUE"""),"Selesai")</f>
        <v>Selesai</v>
      </c>
      <c r="R114" s="936" t="str">
        <f>IFERROR(__xludf.DUMMYFUNCTION("""COMPUTED_VALUE"""),"Skala Uji Lab")</f>
        <v>Skala Uji Lab</v>
      </c>
      <c r="S114" s="937"/>
      <c r="T114" s="938"/>
      <c r="U114" s="935"/>
      <c r="V114" s="935"/>
      <c r="W114" s="935"/>
      <c r="X114" s="935"/>
    </row>
    <row r="115">
      <c r="A115" s="822"/>
      <c r="B115" s="825"/>
      <c r="C115" s="893" t="str">
        <f>IFERROR(__xludf.DUMMYFUNCTION("""COMPUTED_VALUE"""),"Triwulan II")</f>
        <v>Triwulan II</v>
      </c>
      <c r="D115" s="825"/>
      <c r="E115" s="400"/>
      <c r="F115" s="829"/>
      <c r="G115" s="829"/>
      <c r="H115" s="829"/>
      <c r="I115" s="829"/>
      <c r="J115" s="829"/>
      <c r="K115" s="829"/>
      <c r="L115" s="894"/>
      <c r="M115" s="830">
        <f>IFERROR(__xludf.DUMMYFUNCTION("""COMPUTED_VALUE"""),0.0)</f>
        <v>0</v>
      </c>
      <c r="N115" s="830">
        <f>IFERROR(__xludf.DUMMYFUNCTION("""COMPUTED_VALUE"""),0.0)</f>
        <v>0</v>
      </c>
      <c r="O115" s="830">
        <f>IFERROR(__xludf.DUMMYFUNCTION("""COMPUTED_VALUE"""),0.0)</f>
        <v>0</v>
      </c>
      <c r="P115" s="830">
        <f>IFERROR(__xludf.DUMMYFUNCTION("""COMPUTED_VALUE"""),0.0)</f>
        <v>0</v>
      </c>
      <c r="Q115" s="830">
        <f>IFERROR(__xludf.DUMMYFUNCTION("""COMPUTED_VALUE"""),0.0)</f>
        <v>0</v>
      </c>
      <c r="R115" s="939">
        <f>IFERROR(__xludf.DUMMYFUNCTION("""COMPUTED_VALUE"""),0.0)</f>
        <v>0</v>
      </c>
      <c r="S115" s="940"/>
      <c r="T115" s="941"/>
      <c r="U115" s="935"/>
      <c r="V115" s="935"/>
      <c r="W115" s="935"/>
      <c r="X115" s="935"/>
    </row>
    <row r="116">
      <c r="A116" s="822"/>
      <c r="B116" s="825"/>
      <c r="C116" s="893" t="str">
        <f>IFERROR(__xludf.DUMMYFUNCTION("""COMPUTED_VALUE"""),"Triwulan II")</f>
        <v>Triwulan II</v>
      </c>
      <c r="D116" s="825"/>
      <c r="E116" s="811" t="s">
        <v>944</v>
      </c>
      <c r="F116" s="812">
        <v>80.0</v>
      </c>
      <c r="G116" s="942" t="str">
        <f>IFERROR(__xludf.DUMMYFUNCTION("""COMPUTED_VALUE"""),"Publikasi Internasional")</f>
        <v>Publikasi Internasional</v>
      </c>
      <c r="H116" s="898">
        <f>IFERROR(__xludf.DUMMYFUNCTION("""COMPUTED_VALUE"""),29.0)</f>
        <v>29</v>
      </c>
      <c r="I116" s="899">
        <f>IFERROR(__xludf.DUMMYFUNCTION("""COMPUTED_VALUE"""),0.3625)</f>
        <v>0.3625</v>
      </c>
      <c r="J116" s="943" t="str">
        <f>IFERROR(__xludf.DUMMYFUNCTION("""COMPUTED_VALUE"""),"Publikasi Internasional")</f>
        <v>Publikasi Internasional</v>
      </c>
      <c r="K116" s="944"/>
      <c r="L116" s="894"/>
      <c r="M116" s="945" t="str">
        <f>IFERROR(__xludf.DUMMYFUNCTION("""COMPUTED_VALUE"""),"JURNAL")</f>
        <v>JURNAL</v>
      </c>
      <c r="N116" s="829"/>
      <c r="O116" s="945" t="str">
        <f>IFERROR(__xludf.DUMMYFUNCTION("""COMPUTED_VALUE"""),"PHROSIDING")</f>
        <v>PHROSIDING</v>
      </c>
      <c r="P116" s="829"/>
      <c r="Q116" s="945" t="str">
        <f>IFERROR(__xludf.DUMMYFUNCTION("""COMPUTED_VALUE"""),"BUKU")</f>
        <v>BUKU</v>
      </c>
      <c r="R116" s="829"/>
      <c r="S116" s="945" t="str">
        <f>IFERROR(__xludf.DUMMYFUNCTION("""COMPUTED_VALUE"""),"BAGIAN BUKU")</f>
        <v>BAGIAN BUKU</v>
      </c>
      <c r="T116" s="829"/>
      <c r="U116" s="935"/>
      <c r="V116" s="935"/>
      <c r="W116" s="935"/>
      <c r="X116" s="935"/>
    </row>
    <row r="117">
      <c r="A117" s="822"/>
      <c r="B117" s="825"/>
      <c r="C117" s="893" t="str">
        <f>IFERROR(__xludf.DUMMYFUNCTION("""COMPUTED_VALUE"""),"Triwulan II")</f>
        <v>Triwulan II</v>
      </c>
      <c r="D117" s="825"/>
      <c r="E117" s="823"/>
      <c r="F117" s="825"/>
      <c r="G117" s="825"/>
      <c r="H117" s="825"/>
      <c r="I117" s="825"/>
      <c r="J117" s="825"/>
      <c r="K117" s="825"/>
      <c r="L117" s="894"/>
      <c r="M117" s="946" t="str">
        <f>IFERROR(__xludf.DUMMYFUNCTION("""COMPUTED_VALUE"""),"Published")</f>
        <v>Published</v>
      </c>
      <c r="N117" s="946" t="str">
        <f>IFERROR(__xludf.DUMMYFUNCTION("""COMPUTED_VALUE"""),"Accepted")</f>
        <v>Accepted</v>
      </c>
      <c r="O117" s="946" t="str">
        <f>IFERROR(__xludf.DUMMYFUNCTION("""COMPUTED_VALUE"""),"Published")</f>
        <v>Published</v>
      </c>
      <c r="P117" s="946" t="str">
        <f>IFERROR(__xludf.DUMMYFUNCTION("""COMPUTED_VALUE"""),"Accepted")</f>
        <v>Accepted</v>
      </c>
      <c r="Q117" s="946" t="str">
        <f>IFERROR(__xludf.DUMMYFUNCTION("""COMPUTED_VALUE"""),"Published")</f>
        <v>Published</v>
      </c>
      <c r="R117" s="946" t="str">
        <f>IFERROR(__xludf.DUMMYFUNCTION("""COMPUTED_VALUE"""),"Accepted")</f>
        <v>Accepted</v>
      </c>
      <c r="S117" s="946" t="str">
        <f>IFERROR(__xludf.DUMMYFUNCTION("""COMPUTED_VALUE"""),"Published")</f>
        <v>Published</v>
      </c>
      <c r="T117" s="946" t="str">
        <f>IFERROR(__xludf.DUMMYFUNCTION("""COMPUTED_VALUE"""),"Accepted")</f>
        <v>Accepted</v>
      </c>
      <c r="U117" s="935"/>
      <c r="V117" s="935"/>
      <c r="W117" s="935"/>
      <c r="X117" s="935"/>
    </row>
    <row r="118">
      <c r="A118" s="822"/>
      <c r="B118" s="825"/>
      <c r="C118" s="893" t="str">
        <f>IFERROR(__xludf.DUMMYFUNCTION("""COMPUTED_VALUE"""),"Triwulan II")</f>
        <v>Triwulan II</v>
      </c>
      <c r="D118" s="825"/>
      <c r="E118" s="400"/>
      <c r="F118" s="829"/>
      <c r="G118" s="829"/>
      <c r="H118" s="829"/>
      <c r="I118" s="829"/>
      <c r="J118" s="829"/>
      <c r="K118" s="829"/>
      <c r="L118" s="894"/>
      <c r="M118" s="830">
        <f>IFERROR(__xludf.DUMMYFUNCTION("""COMPUTED_VALUE"""),31.0)</f>
        <v>31</v>
      </c>
      <c r="N118" s="947">
        <f>IFERROR(__xludf.DUMMYFUNCTION("""COMPUTED_VALUE"""),0.0)</f>
        <v>0</v>
      </c>
      <c r="O118" s="947">
        <f>IFERROR(__xludf.DUMMYFUNCTION("""COMPUTED_VALUE"""),5.0)</f>
        <v>5</v>
      </c>
      <c r="P118" s="947">
        <f>IFERROR(__xludf.DUMMYFUNCTION("""COMPUTED_VALUE"""),0.0)</f>
        <v>0</v>
      </c>
      <c r="Q118" s="947">
        <f>IFERROR(__xludf.DUMMYFUNCTION("""COMPUTED_VALUE"""),0.0)</f>
        <v>0</v>
      </c>
      <c r="R118" s="947">
        <f>IFERROR(__xludf.DUMMYFUNCTION("""COMPUTED_VALUE"""),0.0)</f>
        <v>0</v>
      </c>
      <c r="S118" s="947">
        <f>IFERROR(__xludf.DUMMYFUNCTION("""COMPUTED_VALUE"""),0.0)</f>
        <v>0</v>
      </c>
      <c r="T118" s="947">
        <f>IFERROR(__xludf.DUMMYFUNCTION("""COMPUTED_VALUE"""),0.0)</f>
        <v>0</v>
      </c>
      <c r="U118" s="935"/>
      <c r="V118" s="935"/>
      <c r="W118" s="935"/>
      <c r="X118" s="935"/>
    </row>
    <row r="119">
      <c r="A119" s="822"/>
      <c r="B119" s="825"/>
      <c r="C119" s="893" t="str">
        <f>IFERROR(__xludf.DUMMYFUNCTION("""COMPUTED_VALUE"""),"Triwulan II")</f>
        <v>Triwulan II</v>
      </c>
      <c r="D119" s="825"/>
      <c r="E119" s="811" t="s">
        <v>945</v>
      </c>
      <c r="F119" s="812">
        <v>24.0</v>
      </c>
      <c r="G119" s="942" t="str">
        <f>IFERROR(__xludf.DUMMYFUNCTION("""COMPUTED_VALUE"""),"Kekayaan Intelektual")</f>
        <v>Kekayaan Intelektual</v>
      </c>
      <c r="H119" s="898">
        <f>IFERROR(__xludf.DUMMYFUNCTION("""COMPUTED_VALUE"""),1.0)</f>
        <v>1</v>
      </c>
      <c r="I119" s="899">
        <f>IFERROR(__xludf.DUMMYFUNCTION("""COMPUTED_VALUE"""),0.041666666666666664)</f>
        <v>0.04166666667</v>
      </c>
      <c r="J119" s="943" t="str">
        <f>IFERROR(__xludf.DUMMYFUNCTION("""COMPUTED_VALUE"""),"Kekayaan Intelektual")</f>
        <v>Kekayaan Intelektual</v>
      </c>
      <c r="K119" s="944"/>
      <c r="L119" s="894"/>
      <c r="M119" s="948" t="str">
        <f>IFERROR(__xludf.DUMMYFUNCTION("""COMPUTED_VALUE"""),"PATEN")</f>
        <v>PATEN</v>
      </c>
      <c r="N119" s="829"/>
      <c r="O119" s="948" t="str">
        <f>IFERROR(__xludf.DUMMYFUNCTION("""COMPUTED_VALUE"""),"HAK CIPTA")</f>
        <v>HAK CIPTA</v>
      </c>
      <c r="P119" s="829"/>
      <c r="Q119" s="948" t="str">
        <f>IFERROR(__xludf.DUMMYFUNCTION("""COMPUTED_VALUE"""),"DESAIN INDUSTRI")</f>
        <v>DESAIN INDUSTRI</v>
      </c>
      <c r="R119" s="829"/>
      <c r="S119" s="206"/>
      <c r="U119" s="935"/>
      <c r="V119" s="935"/>
      <c r="W119" s="935"/>
      <c r="X119" s="935"/>
    </row>
    <row r="120">
      <c r="A120" s="822"/>
      <c r="B120" s="825"/>
      <c r="C120" s="893" t="str">
        <f>IFERROR(__xludf.DUMMYFUNCTION("""COMPUTED_VALUE"""),"Triwulan II")</f>
        <v>Triwulan II</v>
      </c>
      <c r="D120" s="825"/>
      <c r="E120" s="823"/>
      <c r="F120" s="825"/>
      <c r="G120" s="825"/>
      <c r="H120" s="825"/>
      <c r="I120" s="825"/>
      <c r="J120" s="825"/>
      <c r="K120" s="825"/>
      <c r="L120" s="894"/>
      <c r="M120" s="949" t="str">
        <f>IFERROR(__xludf.DUMMYFUNCTION("""COMPUTED_VALUE"""),"Terdaftar DJKI")</f>
        <v>Terdaftar DJKI</v>
      </c>
      <c r="N120" s="949" t="str">
        <f>IFERROR(__xludf.DUMMYFUNCTION("""COMPUTED_VALUE"""),"Tersertifikasi")</f>
        <v>Tersertifikasi</v>
      </c>
      <c r="O120" s="949" t="str">
        <f>IFERROR(__xludf.DUMMYFUNCTION("""COMPUTED_VALUE"""),"Terdaftar DJKI")</f>
        <v>Terdaftar DJKI</v>
      </c>
      <c r="P120" s="949" t="str">
        <f>IFERROR(__xludf.DUMMYFUNCTION("""COMPUTED_VALUE"""),"Tersertifikasi")</f>
        <v>Tersertifikasi</v>
      </c>
      <c r="Q120" s="949" t="str">
        <f>IFERROR(__xludf.DUMMYFUNCTION("""COMPUTED_VALUE"""),"Terdaftar DJKI")</f>
        <v>Terdaftar DJKI</v>
      </c>
      <c r="R120" s="949" t="str">
        <f>IFERROR(__xludf.DUMMYFUNCTION("""COMPUTED_VALUE"""),"Tersertifikasi")</f>
        <v>Tersertifikasi</v>
      </c>
      <c r="S120" s="935"/>
      <c r="T120" s="935"/>
      <c r="U120" s="935"/>
      <c r="V120" s="935"/>
      <c r="W120" s="935"/>
      <c r="X120" s="935"/>
    </row>
    <row r="121">
      <c r="A121" s="822"/>
      <c r="B121" s="825"/>
      <c r="C121" s="893" t="str">
        <f>IFERROR(__xludf.DUMMYFUNCTION("""COMPUTED_VALUE"""),"Triwulan II")</f>
        <v>Triwulan II</v>
      </c>
      <c r="D121" s="825"/>
      <c r="E121" s="400"/>
      <c r="F121" s="829"/>
      <c r="G121" s="829"/>
      <c r="H121" s="829"/>
      <c r="I121" s="829"/>
      <c r="J121" s="829"/>
      <c r="K121" s="829"/>
      <c r="L121" s="894"/>
      <c r="M121" s="947">
        <f>IFERROR(__xludf.DUMMYFUNCTION("""COMPUTED_VALUE"""),0.0)</f>
        <v>0</v>
      </c>
      <c r="N121" s="947">
        <f>IFERROR(__xludf.DUMMYFUNCTION("""COMPUTED_VALUE"""),0.0)</f>
        <v>0</v>
      </c>
      <c r="O121" s="947">
        <f>IFERROR(__xludf.DUMMYFUNCTION("""COMPUTED_VALUE"""),0.0)</f>
        <v>0</v>
      </c>
      <c r="P121" s="947">
        <f>IFERROR(__xludf.DUMMYFUNCTION("""COMPUTED_VALUE"""),0.0)</f>
        <v>0</v>
      </c>
      <c r="Q121" s="947">
        <f>IFERROR(__xludf.DUMMYFUNCTION("""COMPUTED_VALUE"""),0.0)</f>
        <v>0</v>
      </c>
      <c r="R121" s="947">
        <f>IFERROR(__xludf.DUMMYFUNCTION("""COMPUTED_VALUE"""),0.0)</f>
        <v>0</v>
      </c>
      <c r="S121" s="950"/>
      <c r="T121" s="950"/>
      <c r="U121" s="950"/>
      <c r="V121" s="950"/>
      <c r="W121" s="950"/>
      <c r="X121" s="935"/>
    </row>
    <row r="122">
      <c r="A122" s="822"/>
      <c r="B122" s="825"/>
      <c r="C122" s="893" t="str">
        <f>IFERROR(__xludf.DUMMYFUNCTION("""COMPUTED_VALUE"""),"Triwulan II")</f>
        <v>Triwulan II</v>
      </c>
      <c r="D122" s="825"/>
      <c r="E122" s="811" t="s">
        <v>946</v>
      </c>
      <c r="F122" s="847">
        <v>2.2E9</v>
      </c>
      <c r="G122" s="942" t="str">
        <f>IFERROR(__xludf.DUMMYFUNCTION("""COMPUTED_VALUE"""),"Rupiah")</f>
        <v>Rupiah</v>
      </c>
      <c r="H122" s="905">
        <f>IFERROR(__xludf.DUMMYFUNCTION("""COMPUTED_VALUE"""),5.2E8)</f>
        <v>520000000</v>
      </c>
      <c r="I122" s="899">
        <f>IFERROR(__xludf.DUMMYFUNCTION("""COMPUTED_VALUE"""),0.23636363636363636)</f>
        <v>0.2363636364</v>
      </c>
      <c r="J122" s="943" t="str">
        <f>IFERROR(__xludf.DUMMYFUNCTION("""COMPUTED_VALUE"""),"Rupiah")</f>
        <v>Rupiah</v>
      </c>
      <c r="K122" s="944"/>
      <c r="L122" s="894"/>
      <c r="M122" s="951" t="str">
        <f>IFERROR(__xludf.DUMMYFUNCTION("""COMPUTED_VALUE"""),"PNBP")</f>
        <v>PNBP</v>
      </c>
      <c r="N122" s="951" t="str">
        <f>IFERROR(__xludf.DUMMYFUNCTION("""COMPUTED_VALUE"""),"HIBAH")</f>
        <v>HIBAH</v>
      </c>
      <c r="O122" s="951" t="str">
        <f>IFERROR(__xludf.DUMMYFUNCTION("""COMPUTED_VALUE"""),"MITRA/UNV")</f>
        <v>MITRA/UNV</v>
      </c>
      <c r="P122" s="951" t="str">
        <f>IFERROR(__xludf.DUMMYFUNCTION("""COMPUTED_VALUE"""),"POSTDOC")</f>
        <v>POSTDOC</v>
      </c>
      <c r="Q122" s="951" t="str">
        <f>IFERROR(__xludf.DUMMYFUNCTION("""COMPUTED_VALUE"""),"VISITING RSRCH")</f>
        <v>VISITING RSRCH</v>
      </c>
      <c r="R122" s="951" t="str">
        <f>IFERROR(__xludf.DUMMYFUNCTION("""COMPUTED_VALUE"""),"RIMM")</f>
        <v>RIMM</v>
      </c>
      <c r="S122" s="951" t="str">
        <f>IFERROR(__xludf.DUMMYFUNCTION("""COMPUTED_VALUE"""),"LISENSI")</f>
        <v>LISENSI</v>
      </c>
      <c r="T122" s="952" t="str">
        <f>IFERROR(__xludf.DUMMYFUNCTION("""COMPUTED_VALUE"""),"DALAM NEGERI")</f>
        <v>DALAM NEGERI</v>
      </c>
      <c r="U122" s="952" t="str">
        <f>IFERROR(__xludf.DUMMYFUNCTION("""COMPUTED_VALUE"""),"LUAR NEGERI")</f>
        <v>LUAR NEGERI</v>
      </c>
      <c r="V122" s="953" t="str">
        <f>IFERROR(__xludf.DUMMYFUNCTION("""COMPUTED_VALUE"""),"IN CASH")</f>
        <v>IN CASH</v>
      </c>
      <c r="W122" s="953" t="str">
        <f>IFERROR(__xludf.DUMMYFUNCTION("""COMPUTED_VALUE"""),"IN KIND")</f>
        <v>IN KIND</v>
      </c>
      <c r="X122" s="954"/>
    </row>
    <row r="123">
      <c r="A123" s="822"/>
      <c r="B123" s="825"/>
      <c r="C123" s="893" t="str">
        <f>IFERROR(__xludf.DUMMYFUNCTION("""COMPUTED_VALUE"""),"Triwulan II")</f>
        <v>Triwulan II</v>
      </c>
      <c r="D123" s="825"/>
      <c r="E123" s="400"/>
      <c r="F123" s="829"/>
      <c r="G123" s="829"/>
      <c r="H123" s="829"/>
      <c r="I123" s="829"/>
      <c r="J123" s="829"/>
      <c r="K123" s="829"/>
      <c r="L123" s="894"/>
      <c r="M123" s="955">
        <f>IFERROR(__xludf.DUMMYFUNCTION("""COMPUTED_VALUE"""),0.0)</f>
        <v>0</v>
      </c>
      <c r="N123" s="955">
        <f>IFERROR(__xludf.DUMMYFUNCTION("""COMPUTED_VALUE"""),0.0)</f>
        <v>0</v>
      </c>
      <c r="O123" s="955">
        <f>IFERROR(__xludf.DUMMYFUNCTION("""COMPUTED_VALUE"""),0.0)</f>
        <v>0</v>
      </c>
      <c r="P123" s="955">
        <f>IFERROR(__xludf.DUMMYFUNCTION("""COMPUTED_VALUE"""),0.0)</f>
        <v>0</v>
      </c>
      <c r="Q123" s="955">
        <f>IFERROR(__xludf.DUMMYFUNCTION("""COMPUTED_VALUE"""),0.0)</f>
        <v>0</v>
      </c>
      <c r="R123" s="955">
        <f>IFERROR(__xludf.DUMMYFUNCTION("""COMPUTED_VALUE"""),7.02E8)</f>
        <v>702000000</v>
      </c>
      <c r="S123" s="955">
        <f>IFERROR(__xludf.DUMMYFUNCTION("""COMPUTED_VALUE"""),0.0)</f>
        <v>0</v>
      </c>
      <c r="T123" s="955">
        <f>IFERROR(__xludf.DUMMYFUNCTION("""COMPUTED_VALUE"""),7.02E8)</f>
        <v>702000000</v>
      </c>
      <c r="U123" s="955">
        <f>IFERROR(__xludf.DUMMYFUNCTION("""COMPUTED_VALUE"""),0.0)</f>
        <v>0</v>
      </c>
      <c r="V123" s="955">
        <f>IFERROR(__xludf.DUMMYFUNCTION("""COMPUTED_VALUE"""),7.02E8)</f>
        <v>702000000</v>
      </c>
      <c r="W123" s="955">
        <f>IFERROR(__xludf.DUMMYFUNCTION("""COMPUTED_VALUE"""),0.0)</f>
        <v>0</v>
      </c>
      <c r="X123" s="956"/>
    </row>
    <row r="124">
      <c r="A124" s="822"/>
      <c r="B124" s="825"/>
      <c r="C124" s="893" t="str">
        <f>IFERROR(__xludf.DUMMYFUNCTION("""COMPUTED_VALUE"""),"Triwulan II")</f>
        <v>Triwulan II</v>
      </c>
      <c r="D124" s="825"/>
      <c r="E124" s="811" t="s">
        <v>947</v>
      </c>
      <c r="F124" s="812">
        <v>17.0</v>
      </c>
      <c r="G124" s="942" t="str">
        <f>IFERROR(__xludf.DUMMYFUNCTION("""COMPUTED_VALUE"""),"Kerjasama")</f>
        <v>Kerjasama</v>
      </c>
      <c r="H124" s="898">
        <f>IFERROR(__xludf.DUMMYFUNCTION("""COMPUTED_VALUE"""),0.0)</f>
        <v>0</v>
      </c>
      <c r="I124" s="899">
        <f>IFERROR(__xludf.DUMMYFUNCTION("""COMPUTED_VALUE"""),0.0)</f>
        <v>0</v>
      </c>
      <c r="J124" s="943" t="str">
        <f>IFERROR(__xludf.DUMMYFUNCTION("""COMPUTED_VALUE"""),"Kerjasama")</f>
        <v>Kerjasama</v>
      </c>
      <c r="K124" s="944"/>
      <c r="L124" s="894"/>
      <c r="M124" s="951" t="str">
        <f>IFERROR(__xludf.DUMMYFUNCTION("""COMPUTED_VALUE"""),"PNBP")</f>
        <v>PNBP</v>
      </c>
      <c r="N124" s="951" t="str">
        <f>IFERROR(__xludf.DUMMYFUNCTION("""COMPUTED_VALUE"""),"HIBAH")</f>
        <v>HIBAH</v>
      </c>
      <c r="O124" s="951" t="str">
        <f>IFERROR(__xludf.DUMMYFUNCTION("""COMPUTED_VALUE"""),"LISENSI")</f>
        <v>LISENSI</v>
      </c>
      <c r="P124" s="952" t="str">
        <f>IFERROR(__xludf.DUMMYFUNCTION("""COMPUTED_VALUE"""),"DALAM NEGERI")</f>
        <v>DALAM NEGERI</v>
      </c>
      <c r="Q124" s="952" t="str">
        <f>IFERROR(__xludf.DUMMYFUNCTION("""COMPUTED_VALUE"""),"LUAR NEGERI")</f>
        <v>LUAR NEGERI</v>
      </c>
      <c r="R124" s="935"/>
      <c r="S124" s="935"/>
      <c r="T124" s="935"/>
      <c r="U124" s="935"/>
      <c r="V124" s="935"/>
      <c r="W124" s="935"/>
      <c r="X124" s="935"/>
    </row>
    <row r="125">
      <c r="A125" s="822"/>
      <c r="B125" s="825"/>
      <c r="C125" s="893" t="str">
        <f>IFERROR(__xludf.DUMMYFUNCTION("""COMPUTED_VALUE"""),"Triwulan II")</f>
        <v>Triwulan II</v>
      </c>
      <c r="D125" s="825"/>
      <c r="E125" s="400"/>
      <c r="F125" s="829"/>
      <c r="G125" s="829"/>
      <c r="H125" s="829"/>
      <c r="I125" s="829"/>
      <c r="J125" s="829"/>
      <c r="K125" s="829"/>
      <c r="L125" s="894"/>
      <c r="M125" s="947">
        <f>IFERROR(__xludf.DUMMYFUNCTION("""COMPUTED_VALUE"""),0.0)</f>
        <v>0</v>
      </c>
      <c r="N125" s="947">
        <f>IFERROR(__xludf.DUMMYFUNCTION("""COMPUTED_VALUE"""),0.0)</f>
        <v>0</v>
      </c>
      <c r="O125" s="947">
        <f>IFERROR(__xludf.DUMMYFUNCTION("""COMPUTED_VALUE"""),0.0)</f>
        <v>0</v>
      </c>
      <c r="P125" s="957">
        <f>IFERROR(__xludf.DUMMYFUNCTION("""COMPUTED_VALUE"""),0.0)</f>
        <v>0</v>
      </c>
      <c r="Q125" s="957">
        <f>IFERROR(__xludf.DUMMYFUNCTION("""COMPUTED_VALUE"""),0.0)</f>
        <v>0</v>
      </c>
      <c r="R125" s="958"/>
      <c r="S125" s="958"/>
      <c r="T125" s="935"/>
      <c r="U125" s="959"/>
      <c r="V125" s="959"/>
      <c r="W125" s="959"/>
      <c r="X125" s="959"/>
    </row>
    <row r="126">
      <c r="A126" s="822"/>
      <c r="B126" s="825"/>
      <c r="C126" s="893" t="str">
        <f>IFERROR(__xludf.DUMMYFUNCTION("""COMPUTED_VALUE"""),"Triwulan II")</f>
        <v>Triwulan II</v>
      </c>
      <c r="D126" s="825"/>
      <c r="E126" s="811" t="s">
        <v>948</v>
      </c>
      <c r="F126" s="812">
        <v>26.0</v>
      </c>
      <c r="G126" s="942" t="str">
        <f>IFERROR(__xludf.DUMMYFUNCTION("""COMPUTED_VALUE"""),"Pegawai")</f>
        <v>Pegawai</v>
      </c>
      <c r="H126" s="911">
        <f>IFERROR(__xludf.DUMMYFUNCTION("""COMPUTED_VALUE"""),1.0)</f>
        <v>1</v>
      </c>
      <c r="I126" s="899">
        <f>IFERROR(__xludf.DUMMYFUNCTION("""COMPUTED_VALUE"""),0.038461538461538464)</f>
        <v>0.03846153846</v>
      </c>
      <c r="J126" s="943" t="str">
        <f>IFERROR(__xludf.DUMMYFUNCTION("""COMPUTED_VALUE"""),"Pegawai")</f>
        <v>Pegawai</v>
      </c>
      <c r="K126" s="944"/>
      <c r="L126" s="894"/>
      <c r="M126" s="951" t="str">
        <f>IFERROR(__xludf.DUMMYFUNCTION("""COMPUTED_VALUE"""),"S2")</f>
        <v>S2</v>
      </c>
      <c r="N126" s="951" t="str">
        <f>IFERROR(__xludf.DUMMYFUNCTION("""COMPUTED_VALUE"""),"S3")</f>
        <v>S3</v>
      </c>
      <c r="O126" s="952" t="str">
        <f>IFERROR(__xludf.DUMMYFUNCTION("""COMPUTED_VALUE"""),"IJIN BELAJAR")</f>
        <v>IJIN BELAJAR</v>
      </c>
      <c r="P126" s="960" t="str">
        <f>IFERROR(__xludf.DUMMYFUNCTION("""COMPUTED_VALUE"""),"TUGAS BELAJAR")</f>
        <v>TUGAS BELAJAR</v>
      </c>
      <c r="Q126" s="959"/>
      <c r="R126" s="959"/>
      <c r="S126" s="959"/>
      <c r="T126" s="959"/>
      <c r="U126" s="959"/>
      <c r="V126" s="959"/>
      <c r="W126" s="959"/>
      <c r="X126" s="959"/>
    </row>
    <row r="127">
      <c r="A127" s="822"/>
      <c r="B127" s="825"/>
      <c r="C127" s="893" t="str">
        <f>IFERROR(__xludf.DUMMYFUNCTION("""COMPUTED_VALUE"""),"Triwulan II")</f>
        <v>Triwulan II</v>
      </c>
      <c r="D127" s="825"/>
      <c r="E127" s="400"/>
      <c r="F127" s="829"/>
      <c r="G127" s="829"/>
      <c r="H127" s="829"/>
      <c r="I127" s="829"/>
      <c r="J127" s="829"/>
      <c r="K127" s="829"/>
      <c r="L127" s="894"/>
      <c r="M127" s="947">
        <f>IFERROR(__xludf.DUMMYFUNCTION("""COMPUTED_VALUE"""),0.0)</f>
        <v>0</v>
      </c>
      <c r="N127" s="947">
        <f>IFERROR(__xludf.DUMMYFUNCTION("""COMPUTED_VALUE"""),0.0)</f>
        <v>0</v>
      </c>
      <c r="O127" s="947">
        <f>IFERROR(__xludf.DUMMYFUNCTION("""COMPUTED_VALUE"""),0.0)</f>
        <v>0</v>
      </c>
      <c r="P127" s="947">
        <f>IFERROR(__xludf.DUMMYFUNCTION("""COMPUTED_VALUE"""),0.0)</f>
        <v>0</v>
      </c>
      <c r="Q127" s="961"/>
      <c r="R127" s="961"/>
      <c r="S127" s="959"/>
      <c r="T127" s="959"/>
      <c r="U127" s="959"/>
      <c r="V127" s="959"/>
      <c r="W127" s="959"/>
      <c r="X127" s="959"/>
    </row>
    <row r="128">
      <c r="A128" s="822"/>
      <c r="B128" s="825"/>
      <c r="C128" s="893" t="str">
        <f>IFERROR(__xludf.DUMMYFUNCTION("""COMPUTED_VALUE"""),"Triwulan II")</f>
        <v>Triwulan II</v>
      </c>
      <c r="D128" s="825"/>
      <c r="E128" s="811" t="s">
        <v>949</v>
      </c>
      <c r="F128" s="812">
        <v>5.0</v>
      </c>
      <c r="G128" s="942" t="str">
        <f>IFERROR(__xludf.DUMMYFUNCTION("""COMPUTED_VALUE"""),"Peserta")</f>
        <v>Peserta</v>
      </c>
      <c r="H128" s="911">
        <f>IFERROR(__xludf.DUMMYFUNCTION("""COMPUTED_VALUE"""),0.0)</f>
        <v>0</v>
      </c>
      <c r="I128" s="899">
        <f>IFERROR(__xludf.DUMMYFUNCTION("""COMPUTED_VALUE"""),0.0)</f>
        <v>0</v>
      </c>
      <c r="J128" s="943" t="str">
        <f>IFERROR(__xludf.DUMMYFUNCTION("""COMPUTED_VALUE"""),"Peserta")</f>
        <v>Peserta</v>
      </c>
      <c r="K128" s="944"/>
      <c r="L128" s="894"/>
      <c r="M128" s="948" t="str">
        <f>IFERROR(__xludf.DUMMYFUNCTION("""COMPUTED_VALUE"""),"POSTDOCTORAL")</f>
        <v>POSTDOCTORAL</v>
      </c>
      <c r="N128" s="829"/>
      <c r="O128" s="948" t="str">
        <f>IFERROR(__xludf.DUMMYFUNCTION("""COMPUTED_VALUE"""),"VISITING RESEARCH")</f>
        <v>VISITING RESEARCH</v>
      </c>
      <c r="P128" s="829"/>
      <c r="Q128" s="962" t="str">
        <f>IFERROR(__xludf.DUMMYFUNCTION("""COMPUTED_VALUE"""),"PUBLIKASI")</f>
        <v>PUBLIKASI</v>
      </c>
      <c r="R128" s="829"/>
      <c r="S128" s="959"/>
      <c r="T128" s="959"/>
      <c r="U128" s="959"/>
      <c r="V128" s="959"/>
      <c r="W128" s="959"/>
      <c r="X128" s="959"/>
    </row>
    <row r="129">
      <c r="A129" s="822"/>
      <c r="B129" s="825"/>
      <c r="C129" s="893" t="str">
        <f>IFERROR(__xludf.DUMMYFUNCTION("""COMPUTED_VALUE"""),"Triwulan II")</f>
        <v>Triwulan II</v>
      </c>
      <c r="D129" s="825"/>
      <c r="E129" s="823"/>
      <c r="F129" s="825"/>
      <c r="G129" s="825"/>
      <c r="H129" s="825"/>
      <c r="I129" s="825"/>
      <c r="J129" s="825"/>
      <c r="K129" s="825"/>
      <c r="L129" s="894"/>
      <c r="M129" s="946" t="str">
        <f>IFERROR(__xludf.DUMMYFUNCTION("""COMPUTED_VALUE"""),"Dalam Negeri")</f>
        <v>Dalam Negeri</v>
      </c>
      <c r="N129" s="946" t="str">
        <f>IFERROR(__xludf.DUMMYFUNCTION("""COMPUTED_VALUE"""),"Luar Negeri")</f>
        <v>Luar Negeri</v>
      </c>
      <c r="O129" s="946" t="str">
        <f>IFERROR(__xludf.DUMMYFUNCTION("""COMPUTED_VALUE"""),"Dalam Negeri")</f>
        <v>Dalam Negeri</v>
      </c>
      <c r="P129" s="946" t="str">
        <f>IFERROR(__xludf.DUMMYFUNCTION("""COMPUTED_VALUE"""),"Luar Negeri")</f>
        <v>Luar Negeri</v>
      </c>
      <c r="Q129" s="963" t="str">
        <f>IFERROR(__xludf.DUMMYFUNCTION("""COMPUTED_VALUE"""),"Dalam Negeri")</f>
        <v>Dalam Negeri</v>
      </c>
      <c r="R129" s="963" t="str">
        <f>IFERROR(__xludf.DUMMYFUNCTION("""COMPUTED_VALUE"""),"Luar Negeri")</f>
        <v>Luar Negeri</v>
      </c>
      <c r="S129" s="959"/>
      <c r="T129" s="959"/>
      <c r="U129" s="959"/>
      <c r="V129" s="959"/>
      <c r="W129" s="959"/>
      <c r="X129" s="959"/>
    </row>
    <row r="130">
      <c r="A130" s="822"/>
      <c r="B130" s="825"/>
      <c r="C130" s="893" t="str">
        <f>IFERROR(__xludf.DUMMYFUNCTION("""COMPUTED_VALUE"""),"Triwulan II")</f>
        <v>Triwulan II</v>
      </c>
      <c r="D130" s="875"/>
      <c r="E130" s="874"/>
      <c r="F130" s="863"/>
      <c r="G130" s="875"/>
      <c r="H130" s="875"/>
      <c r="I130" s="875"/>
      <c r="J130" s="875"/>
      <c r="K130" s="875"/>
      <c r="L130" s="915"/>
      <c r="M130" s="964">
        <f>IFERROR(__xludf.DUMMYFUNCTION("""COMPUTED_VALUE"""),0.0)</f>
        <v>0</v>
      </c>
      <c r="N130" s="964">
        <f>IFERROR(__xludf.DUMMYFUNCTION("""COMPUTED_VALUE"""),0.0)</f>
        <v>0</v>
      </c>
      <c r="O130" s="964">
        <f>IFERROR(__xludf.DUMMYFUNCTION("""COMPUTED_VALUE"""),0.0)</f>
        <v>0</v>
      </c>
      <c r="P130" s="964">
        <f>IFERROR(__xludf.DUMMYFUNCTION("""COMPUTED_VALUE"""),0.0)</f>
        <v>0</v>
      </c>
      <c r="Q130" s="964">
        <f>IFERROR(__xludf.DUMMYFUNCTION("""COMPUTED_VALUE"""),0.0)</f>
        <v>0</v>
      </c>
      <c r="R130" s="964">
        <f>IFERROR(__xludf.DUMMYFUNCTION("""COMPUTED_VALUE"""),0.0)</f>
        <v>0</v>
      </c>
      <c r="S130" s="959"/>
      <c r="T130" s="959"/>
      <c r="U130" s="959"/>
      <c r="V130" s="959"/>
      <c r="W130" s="959"/>
      <c r="X130" s="959"/>
    </row>
    <row r="131">
      <c r="A131" s="822"/>
      <c r="B131" s="825"/>
      <c r="C131" s="893" t="str">
        <f>IFERROR(__xludf.DUMMYFUNCTION("""COMPUTED_VALUE"""),"Triwulan II")</f>
        <v>Triwulan II</v>
      </c>
      <c r="D131" s="917" t="str">
        <f>IFERROR(__xludf.DUMMYFUNCTION("""COMPUTED_VALUE"""),"Capaian Lainnya")</f>
        <v>Capaian Lainnya</v>
      </c>
      <c r="E131" s="867" t="s">
        <v>950</v>
      </c>
      <c r="F131" s="868"/>
      <c r="G131" s="965" t="str">
        <f>IFERROR(__xludf.DUMMYFUNCTION("""COMPUTED_VALUE"""),"Sitasi")</f>
        <v>Sitasi</v>
      </c>
      <c r="H131" s="919">
        <f>IFERROR(__xludf.DUMMYFUNCTION("""COMPUTED_VALUE"""),683.0)</f>
        <v>683</v>
      </c>
      <c r="I131" s="966"/>
      <c r="J131" s="967" t="str">
        <f>IFERROR(__xludf.DUMMYFUNCTION("""COMPUTED_VALUE"""),"Sitasi")</f>
        <v>Sitasi</v>
      </c>
      <c r="K131" s="968"/>
      <c r="L131" s="969"/>
      <c r="M131" s="951" t="str">
        <f>IFERROR(__xludf.DUMMYFUNCTION("""COMPUTED_VALUE"""),"DOK PUBLISHED")</f>
        <v>DOK PUBLISHED</v>
      </c>
      <c r="N131" s="951" t="str">
        <f>IFERROR(__xludf.DUMMYFUNCTION("""COMPUTED_VALUE"""),"SITASI")</f>
        <v>SITASI</v>
      </c>
      <c r="O131" s="959"/>
      <c r="P131" s="959"/>
      <c r="Q131" s="959"/>
      <c r="R131" s="959"/>
      <c r="S131" s="959"/>
      <c r="T131" s="959"/>
      <c r="U131" s="959"/>
      <c r="V131" s="959"/>
      <c r="W131" s="959"/>
      <c r="X131" s="959"/>
    </row>
    <row r="132">
      <c r="A132" s="822"/>
      <c r="B132" s="825"/>
      <c r="C132" s="893" t="str">
        <f>IFERROR(__xludf.DUMMYFUNCTION("""COMPUTED_VALUE"""),"Triwulan II")</f>
        <v>Triwulan II</v>
      </c>
      <c r="D132" s="825"/>
      <c r="E132" s="874"/>
      <c r="F132" s="875"/>
      <c r="G132" s="875"/>
      <c r="H132" s="875"/>
      <c r="I132" s="875"/>
      <c r="J132" s="875"/>
      <c r="K132" s="875"/>
      <c r="L132" s="894"/>
      <c r="M132" s="947">
        <f>IFERROR(__xludf.DUMMYFUNCTION("""COMPUTED_VALUE"""),0.0)</f>
        <v>0</v>
      </c>
      <c r="N132" s="947">
        <f>IFERROR(__xludf.DUMMYFUNCTION("""COMPUTED_VALUE"""),0.0)</f>
        <v>0</v>
      </c>
      <c r="O132" s="959"/>
      <c r="P132" s="959"/>
      <c r="Q132" s="959"/>
      <c r="R132" s="959"/>
      <c r="S132" s="959"/>
      <c r="T132" s="959"/>
      <c r="U132" s="959"/>
      <c r="V132" s="959"/>
      <c r="W132" s="959"/>
      <c r="X132" s="959"/>
    </row>
    <row r="133">
      <c r="A133" s="822"/>
      <c r="B133" s="825"/>
      <c r="C133" s="893" t="str">
        <f>IFERROR(__xludf.DUMMYFUNCTION("""COMPUTED_VALUE"""),"Triwulan II")</f>
        <v>Triwulan II</v>
      </c>
      <c r="D133" s="825"/>
      <c r="E133" s="867" t="s">
        <v>951</v>
      </c>
      <c r="F133" s="868"/>
      <c r="G133" s="970" t="str">
        <f>IFERROR(__xludf.DUMMYFUNCTION("""COMPUTED_VALUE"""),"Publikasi Nasional")</f>
        <v>Publikasi Nasional</v>
      </c>
      <c r="H133" s="925">
        <f>IFERROR(__xludf.DUMMYFUNCTION("""COMPUTED_VALUE"""),0.0)</f>
        <v>0</v>
      </c>
      <c r="I133" s="971"/>
      <c r="J133" s="972" t="str">
        <f>IFERROR(__xludf.DUMMYFUNCTION("""COMPUTED_VALUE"""),"Publikasi Nasional")</f>
        <v>Publikasi Nasional</v>
      </c>
      <c r="K133" s="925"/>
      <c r="L133" s="894"/>
      <c r="M133" s="959"/>
      <c r="N133" s="959"/>
      <c r="O133" s="959"/>
      <c r="P133" s="959"/>
      <c r="Q133" s="959"/>
      <c r="R133" s="959"/>
      <c r="S133" s="959"/>
      <c r="T133" s="959"/>
      <c r="U133" s="959"/>
      <c r="V133" s="959"/>
      <c r="W133" s="959"/>
      <c r="X133" s="959"/>
    </row>
    <row r="134">
      <c r="A134" s="673"/>
      <c r="B134" s="881"/>
      <c r="C134" s="893" t="str">
        <f>IFERROR(__xludf.DUMMYFUNCTION("""COMPUTED_VALUE"""),"Triwulan II")</f>
        <v>Triwulan II</v>
      </c>
      <c r="D134" s="881"/>
      <c r="E134" s="674"/>
      <c r="F134" s="881"/>
      <c r="G134" s="881"/>
      <c r="H134" s="881"/>
      <c r="I134" s="881"/>
      <c r="J134" s="881"/>
      <c r="K134" s="881"/>
      <c r="L134" s="930"/>
      <c r="M134" s="959"/>
      <c r="N134" s="959"/>
      <c r="O134" s="959"/>
      <c r="P134" s="959"/>
      <c r="Q134" s="959"/>
      <c r="R134" s="959"/>
      <c r="S134" s="959"/>
      <c r="T134" s="959"/>
      <c r="U134" s="959"/>
      <c r="V134" s="959"/>
      <c r="W134" s="959"/>
      <c r="X134" s="959"/>
    </row>
    <row r="135">
      <c r="A135" s="807">
        <f>IFERROR(__xludf.DUMMYFUNCTION("""COMPUTED_VALUE"""),7.0)</f>
        <v>7</v>
      </c>
      <c r="B135" s="883" t="str">
        <f>IFERROR(__xludf.DUMMYFUNCTION("""COMPUTED_VALUE"""),"Juli")</f>
        <v>Juli</v>
      </c>
      <c r="C135" s="884" t="str">
        <f>IFERROR(__xludf.DUMMYFUNCTION("""COMPUTED_VALUE"""),"Juli")</f>
        <v>Juli</v>
      </c>
      <c r="D135" s="931" t="str">
        <f>IFERROR(__xludf.DUMMYFUNCTION("""COMPUTED_VALUE"""),"Terselenggaranya riset dan inovasi di bidang elektronikan dan informatika")</f>
        <v>Terselenggaranya riset dan inovasi di bidang elektronikan dan informatika</v>
      </c>
      <c r="E135" s="811" t="s">
        <v>943</v>
      </c>
      <c r="F135" s="812">
        <v>2.0</v>
      </c>
      <c r="G135" s="932" t="str">
        <f>IFERROR(__xludf.DUMMYFUNCTION("""COMPUTED_VALUE"""),"Purwarupa")</f>
        <v>Purwarupa</v>
      </c>
      <c r="H135" s="887">
        <f>IFERROR(__xludf.DUMMYFUNCTION("""COMPUTED_VALUE"""),0.0)</f>
        <v>0</v>
      </c>
      <c r="I135" s="888">
        <f>IFERROR(__xludf.DUMMYFUNCTION("""COMPUTED_VALUE"""),0.0)</f>
        <v>0</v>
      </c>
      <c r="J135" s="933" t="str">
        <f>IFERROR(__xludf.DUMMYFUNCTION("""COMPUTED_VALUE"""),"Purwarupa")</f>
        <v>Purwarupa</v>
      </c>
      <c r="K135" s="934"/>
      <c r="L135" s="891">
        <f>IFERROR(__xludf.DUMMYFUNCTION("""COMPUTED_VALUE"""),0.24795936416524653)</f>
        <v>0.2479593642</v>
      </c>
      <c r="M135" s="819" t="str">
        <f>IFERROR(__xludf.DUMMYFUNCTION("""COMPUTED_VALUE"""),"HARDWARE PROTOTYPE")</f>
        <v>HARDWARE PROTOTYPE</v>
      </c>
      <c r="N135" s="820"/>
      <c r="O135" s="819" t="str">
        <f>IFERROR(__xludf.DUMMYFUNCTION("""COMPUTED_VALUE"""),"SOFTWARE PROTOTYPE")</f>
        <v>SOFTWARE PROTOTYPE</v>
      </c>
      <c r="P135" s="820"/>
      <c r="Q135" s="819" t="str">
        <f>IFERROR(__xludf.DUMMYFUNCTION("""COMPUTED_VALUE"""),"DESAIN PROTOTYPE")</f>
        <v>DESAIN PROTOTYPE</v>
      </c>
      <c r="R135" s="820"/>
      <c r="S135" s="935"/>
      <c r="T135" s="935"/>
      <c r="U135" s="935"/>
      <c r="V135" s="935"/>
      <c r="W135" s="935"/>
      <c r="X135" s="935"/>
    </row>
    <row r="136">
      <c r="A136" s="822"/>
      <c r="B136" s="825"/>
      <c r="C136" s="893" t="str">
        <f>IFERROR(__xludf.DUMMYFUNCTION("""COMPUTED_VALUE"""),"Juli")</f>
        <v>Juli</v>
      </c>
      <c r="D136" s="825"/>
      <c r="E136" s="823"/>
      <c r="F136" s="825"/>
      <c r="G136" s="825"/>
      <c r="H136" s="825"/>
      <c r="I136" s="825"/>
      <c r="J136" s="825"/>
      <c r="K136" s="825"/>
      <c r="L136" s="894"/>
      <c r="M136" s="827" t="str">
        <f>IFERROR(__xludf.DUMMYFUNCTION("""COMPUTED_VALUE"""),"Selesai")</f>
        <v>Selesai</v>
      </c>
      <c r="N136" s="827" t="str">
        <f>IFERROR(__xludf.DUMMYFUNCTION("""COMPUTED_VALUE"""),"Skala Uji Lab")</f>
        <v>Skala Uji Lab</v>
      </c>
      <c r="O136" s="827" t="str">
        <f>IFERROR(__xludf.DUMMYFUNCTION("""COMPUTED_VALUE"""),"Selesai")</f>
        <v>Selesai</v>
      </c>
      <c r="P136" s="827" t="str">
        <f>IFERROR(__xludf.DUMMYFUNCTION("""COMPUTED_VALUE"""),"Skala Uji Lab")</f>
        <v>Skala Uji Lab</v>
      </c>
      <c r="Q136" s="827" t="str">
        <f>IFERROR(__xludf.DUMMYFUNCTION("""COMPUTED_VALUE"""),"Selesai")</f>
        <v>Selesai</v>
      </c>
      <c r="R136" s="936" t="str">
        <f>IFERROR(__xludf.DUMMYFUNCTION("""COMPUTED_VALUE"""),"Skala Uji Lab")</f>
        <v>Skala Uji Lab</v>
      </c>
      <c r="S136" s="937"/>
      <c r="T136" s="938"/>
      <c r="U136" s="935"/>
      <c r="V136" s="935"/>
      <c r="W136" s="935"/>
      <c r="X136" s="935"/>
    </row>
    <row r="137">
      <c r="A137" s="822"/>
      <c r="B137" s="825"/>
      <c r="C137" s="893" t="str">
        <f>IFERROR(__xludf.DUMMYFUNCTION("""COMPUTED_VALUE"""),"Juli")</f>
        <v>Juli</v>
      </c>
      <c r="D137" s="825"/>
      <c r="E137" s="400"/>
      <c r="F137" s="829"/>
      <c r="G137" s="829"/>
      <c r="H137" s="829"/>
      <c r="I137" s="829"/>
      <c r="J137" s="829"/>
      <c r="K137" s="829"/>
      <c r="L137" s="894"/>
      <c r="M137" s="830">
        <f>IFERROR(__xludf.DUMMYFUNCTION("""COMPUTED_VALUE"""),0.0)</f>
        <v>0</v>
      </c>
      <c r="N137" s="830">
        <f>IFERROR(__xludf.DUMMYFUNCTION("""COMPUTED_VALUE"""),0.0)</f>
        <v>0</v>
      </c>
      <c r="O137" s="830">
        <f>IFERROR(__xludf.DUMMYFUNCTION("""COMPUTED_VALUE"""),0.0)</f>
        <v>0</v>
      </c>
      <c r="P137" s="830">
        <f>IFERROR(__xludf.DUMMYFUNCTION("""COMPUTED_VALUE"""),0.0)</f>
        <v>0</v>
      </c>
      <c r="Q137" s="830">
        <f>IFERROR(__xludf.DUMMYFUNCTION("""COMPUTED_VALUE"""),0.0)</f>
        <v>0</v>
      </c>
      <c r="R137" s="939">
        <f>IFERROR(__xludf.DUMMYFUNCTION("""COMPUTED_VALUE"""),0.0)</f>
        <v>0</v>
      </c>
      <c r="S137" s="940"/>
      <c r="T137" s="941"/>
      <c r="U137" s="935"/>
      <c r="V137" s="935"/>
      <c r="W137" s="935"/>
      <c r="X137" s="935"/>
    </row>
    <row r="138">
      <c r="A138" s="822"/>
      <c r="B138" s="825"/>
      <c r="C138" s="893" t="str">
        <f>IFERROR(__xludf.DUMMYFUNCTION("""COMPUTED_VALUE"""),"Juli")</f>
        <v>Juli</v>
      </c>
      <c r="D138" s="825"/>
      <c r="E138" s="811" t="s">
        <v>944</v>
      </c>
      <c r="F138" s="812">
        <v>80.0</v>
      </c>
      <c r="G138" s="942" t="str">
        <f>IFERROR(__xludf.DUMMYFUNCTION("""COMPUTED_VALUE"""),"Publikasi Internasional")</f>
        <v>Publikasi Internasional</v>
      </c>
      <c r="H138" s="898">
        <f>IFERROR(__xludf.DUMMYFUNCTION("""COMPUTED_VALUE"""),34.0)</f>
        <v>34</v>
      </c>
      <c r="I138" s="899">
        <f>IFERROR(__xludf.DUMMYFUNCTION("""COMPUTED_VALUE"""),0.425)</f>
        <v>0.425</v>
      </c>
      <c r="J138" s="943" t="str">
        <f>IFERROR(__xludf.DUMMYFUNCTION("""COMPUTED_VALUE"""),"Publikasi Internasional")</f>
        <v>Publikasi Internasional</v>
      </c>
      <c r="K138" s="944"/>
      <c r="L138" s="894"/>
      <c r="M138" s="945" t="str">
        <f>IFERROR(__xludf.DUMMYFUNCTION("""COMPUTED_VALUE"""),"JURNAL")</f>
        <v>JURNAL</v>
      </c>
      <c r="N138" s="829"/>
      <c r="O138" s="945" t="str">
        <f>IFERROR(__xludf.DUMMYFUNCTION("""COMPUTED_VALUE"""),"PHROSIDING")</f>
        <v>PHROSIDING</v>
      </c>
      <c r="P138" s="829"/>
      <c r="Q138" s="945" t="str">
        <f>IFERROR(__xludf.DUMMYFUNCTION("""COMPUTED_VALUE"""),"BUKU")</f>
        <v>BUKU</v>
      </c>
      <c r="R138" s="829"/>
      <c r="S138" s="945" t="str">
        <f>IFERROR(__xludf.DUMMYFUNCTION("""COMPUTED_VALUE"""),"BAGIAN BUKU")</f>
        <v>BAGIAN BUKU</v>
      </c>
      <c r="T138" s="829"/>
      <c r="U138" s="935"/>
      <c r="V138" s="935"/>
      <c r="W138" s="935"/>
      <c r="X138" s="935"/>
    </row>
    <row r="139">
      <c r="A139" s="822"/>
      <c r="B139" s="825"/>
      <c r="C139" s="893" t="str">
        <f>IFERROR(__xludf.DUMMYFUNCTION("""COMPUTED_VALUE"""),"Juli")</f>
        <v>Juli</v>
      </c>
      <c r="D139" s="825"/>
      <c r="E139" s="823"/>
      <c r="F139" s="825"/>
      <c r="G139" s="825"/>
      <c r="H139" s="825"/>
      <c r="I139" s="825"/>
      <c r="J139" s="825"/>
      <c r="K139" s="825"/>
      <c r="L139" s="894"/>
      <c r="M139" s="946" t="str">
        <f>IFERROR(__xludf.DUMMYFUNCTION("""COMPUTED_VALUE"""),"Published")</f>
        <v>Published</v>
      </c>
      <c r="N139" s="946" t="str">
        <f>IFERROR(__xludf.DUMMYFUNCTION("""COMPUTED_VALUE"""),"Accepted")</f>
        <v>Accepted</v>
      </c>
      <c r="O139" s="946" t="str">
        <f>IFERROR(__xludf.DUMMYFUNCTION("""COMPUTED_VALUE"""),"Published")</f>
        <v>Published</v>
      </c>
      <c r="P139" s="946" t="str">
        <f>IFERROR(__xludf.DUMMYFUNCTION("""COMPUTED_VALUE"""),"Accepted")</f>
        <v>Accepted</v>
      </c>
      <c r="Q139" s="946" t="str">
        <f>IFERROR(__xludf.DUMMYFUNCTION("""COMPUTED_VALUE"""),"Published")</f>
        <v>Published</v>
      </c>
      <c r="R139" s="946" t="str">
        <f>IFERROR(__xludf.DUMMYFUNCTION("""COMPUTED_VALUE"""),"Accepted")</f>
        <v>Accepted</v>
      </c>
      <c r="S139" s="946" t="str">
        <f>IFERROR(__xludf.DUMMYFUNCTION("""COMPUTED_VALUE"""),"Published")</f>
        <v>Published</v>
      </c>
      <c r="T139" s="946" t="str">
        <f>IFERROR(__xludf.DUMMYFUNCTION("""COMPUTED_VALUE"""),"Accepted")</f>
        <v>Accepted</v>
      </c>
      <c r="U139" s="935"/>
      <c r="V139" s="935"/>
      <c r="W139" s="935"/>
      <c r="X139" s="935"/>
    </row>
    <row r="140">
      <c r="A140" s="822"/>
      <c r="B140" s="825"/>
      <c r="C140" s="893" t="str">
        <f>IFERROR(__xludf.DUMMYFUNCTION("""COMPUTED_VALUE"""),"Juli")</f>
        <v>Juli</v>
      </c>
      <c r="D140" s="825"/>
      <c r="E140" s="400"/>
      <c r="F140" s="829"/>
      <c r="G140" s="829"/>
      <c r="H140" s="829"/>
      <c r="I140" s="829"/>
      <c r="J140" s="829"/>
      <c r="K140" s="829"/>
      <c r="L140" s="894"/>
      <c r="M140" s="830">
        <f>IFERROR(__xludf.DUMMYFUNCTION("""COMPUTED_VALUE"""),39.0)</f>
        <v>39</v>
      </c>
      <c r="N140" s="947">
        <f>IFERROR(__xludf.DUMMYFUNCTION("""COMPUTED_VALUE"""),0.0)</f>
        <v>0</v>
      </c>
      <c r="O140" s="947">
        <f>IFERROR(__xludf.DUMMYFUNCTION("""COMPUTED_VALUE"""),6.0)</f>
        <v>6</v>
      </c>
      <c r="P140" s="947">
        <f>IFERROR(__xludf.DUMMYFUNCTION("""COMPUTED_VALUE"""),0.0)</f>
        <v>0</v>
      </c>
      <c r="Q140" s="947">
        <f>IFERROR(__xludf.DUMMYFUNCTION("""COMPUTED_VALUE"""),0.0)</f>
        <v>0</v>
      </c>
      <c r="R140" s="947">
        <f>IFERROR(__xludf.DUMMYFUNCTION("""COMPUTED_VALUE"""),0.0)</f>
        <v>0</v>
      </c>
      <c r="S140" s="947">
        <f>IFERROR(__xludf.DUMMYFUNCTION("""COMPUTED_VALUE"""),0.0)</f>
        <v>0</v>
      </c>
      <c r="T140" s="947">
        <f>IFERROR(__xludf.DUMMYFUNCTION("""COMPUTED_VALUE"""),0.0)</f>
        <v>0</v>
      </c>
      <c r="U140" s="935"/>
      <c r="V140" s="935"/>
      <c r="W140" s="935"/>
      <c r="X140" s="935"/>
    </row>
    <row r="141">
      <c r="A141" s="822"/>
      <c r="B141" s="825"/>
      <c r="C141" s="893" t="str">
        <f>IFERROR(__xludf.DUMMYFUNCTION("""COMPUTED_VALUE"""),"Juli")</f>
        <v>Juli</v>
      </c>
      <c r="D141" s="825"/>
      <c r="E141" s="811" t="s">
        <v>945</v>
      </c>
      <c r="F141" s="812">
        <v>24.0</v>
      </c>
      <c r="G141" s="942" t="str">
        <f>IFERROR(__xludf.DUMMYFUNCTION("""COMPUTED_VALUE"""),"Kekayaan Intelektual")</f>
        <v>Kekayaan Intelektual</v>
      </c>
      <c r="H141" s="898">
        <f>IFERROR(__xludf.DUMMYFUNCTION("""COMPUTED_VALUE"""),3.0)</f>
        <v>3</v>
      </c>
      <c r="I141" s="899">
        <f>IFERROR(__xludf.DUMMYFUNCTION("""COMPUTED_VALUE"""),0.125)</f>
        <v>0.125</v>
      </c>
      <c r="J141" s="943" t="str">
        <f>IFERROR(__xludf.DUMMYFUNCTION("""COMPUTED_VALUE"""),"Kekayaan Intelektual")</f>
        <v>Kekayaan Intelektual</v>
      </c>
      <c r="K141" s="944"/>
      <c r="L141" s="894"/>
      <c r="M141" s="948" t="str">
        <f>IFERROR(__xludf.DUMMYFUNCTION("""COMPUTED_VALUE"""),"PATEN")</f>
        <v>PATEN</v>
      </c>
      <c r="N141" s="829"/>
      <c r="O141" s="948" t="str">
        <f>IFERROR(__xludf.DUMMYFUNCTION("""COMPUTED_VALUE"""),"HAK CIPTA")</f>
        <v>HAK CIPTA</v>
      </c>
      <c r="P141" s="829"/>
      <c r="Q141" s="948" t="str">
        <f>IFERROR(__xludf.DUMMYFUNCTION("""COMPUTED_VALUE"""),"DESAIN INDUSTRI")</f>
        <v>DESAIN INDUSTRI</v>
      </c>
      <c r="R141" s="829"/>
      <c r="S141" s="206"/>
      <c r="U141" s="935"/>
      <c r="V141" s="935"/>
      <c r="W141" s="935"/>
      <c r="X141" s="935"/>
    </row>
    <row r="142">
      <c r="A142" s="822"/>
      <c r="B142" s="825"/>
      <c r="C142" s="893" t="str">
        <f>IFERROR(__xludf.DUMMYFUNCTION("""COMPUTED_VALUE"""),"Juli")</f>
        <v>Juli</v>
      </c>
      <c r="D142" s="825"/>
      <c r="E142" s="823"/>
      <c r="F142" s="825"/>
      <c r="G142" s="825"/>
      <c r="H142" s="825"/>
      <c r="I142" s="825"/>
      <c r="J142" s="825"/>
      <c r="K142" s="825"/>
      <c r="L142" s="894"/>
      <c r="M142" s="949" t="str">
        <f>IFERROR(__xludf.DUMMYFUNCTION("""COMPUTED_VALUE"""),"Terdaftar DJKI")</f>
        <v>Terdaftar DJKI</v>
      </c>
      <c r="N142" s="949" t="str">
        <f>IFERROR(__xludf.DUMMYFUNCTION("""COMPUTED_VALUE"""),"Tersertifikasi")</f>
        <v>Tersertifikasi</v>
      </c>
      <c r="O142" s="949" t="str">
        <f>IFERROR(__xludf.DUMMYFUNCTION("""COMPUTED_VALUE"""),"Terdaftar DJKI")</f>
        <v>Terdaftar DJKI</v>
      </c>
      <c r="P142" s="949" t="str">
        <f>IFERROR(__xludf.DUMMYFUNCTION("""COMPUTED_VALUE"""),"Tersertifikasi")</f>
        <v>Tersertifikasi</v>
      </c>
      <c r="Q142" s="949" t="str">
        <f>IFERROR(__xludf.DUMMYFUNCTION("""COMPUTED_VALUE"""),"Terdaftar DJKI")</f>
        <v>Terdaftar DJKI</v>
      </c>
      <c r="R142" s="949" t="str">
        <f>IFERROR(__xludf.DUMMYFUNCTION("""COMPUTED_VALUE"""),"Tersertifikasi")</f>
        <v>Tersertifikasi</v>
      </c>
      <c r="S142" s="935"/>
      <c r="T142" s="935"/>
      <c r="U142" s="935"/>
      <c r="V142" s="935"/>
      <c r="W142" s="935"/>
      <c r="X142" s="935"/>
    </row>
    <row r="143">
      <c r="A143" s="822"/>
      <c r="B143" s="825"/>
      <c r="C143" s="893" t="str">
        <f>IFERROR(__xludf.DUMMYFUNCTION("""COMPUTED_VALUE"""),"Juli")</f>
        <v>Juli</v>
      </c>
      <c r="D143" s="825"/>
      <c r="E143" s="400"/>
      <c r="F143" s="829"/>
      <c r="G143" s="829"/>
      <c r="H143" s="829"/>
      <c r="I143" s="829"/>
      <c r="J143" s="829"/>
      <c r="K143" s="829"/>
      <c r="L143" s="894"/>
      <c r="M143" s="947">
        <f>IFERROR(__xludf.DUMMYFUNCTION("""COMPUTED_VALUE"""),0.0)</f>
        <v>0</v>
      </c>
      <c r="N143" s="947">
        <f>IFERROR(__xludf.DUMMYFUNCTION("""COMPUTED_VALUE"""),0.0)</f>
        <v>0</v>
      </c>
      <c r="O143" s="947">
        <f>IFERROR(__xludf.DUMMYFUNCTION("""COMPUTED_VALUE"""),0.0)</f>
        <v>0</v>
      </c>
      <c r="P143" s="947">
        <f>IFERROR(__xludf.DUMMYFUNCTION("""COMPUTED_VALUE"""),0.0)</f>
        <v>0</v>
      </c>
      <c r="Q143" s="947">
        <f>IFERROR(__xludf.DUMMYFUNCTION("""COMPUTED_VALUE"""),0.0)</f>
        <v>0</v>
      </c>
      <c r="R143" s="947">
        <f>IFERROR(__xludf.DUMMYFUNCTION("""COMPUTED_VALUE"""),0.0)</f>
        <v>0</v>
      </c>
      <c r="S143" s="950"/>
      <c r="T143" s="950"/>
      <c r="U143" s="950"/>
      <c r="V143" s="950"/>
      <c r="W143" s="950"/>
      <c r="X143" s="935"/>
    </row>
    <row r="144">
      <c r="A144" s="822"/>
      <c r="B144" s="825"/>
      <c r="C144" s="893" t="str">
        <f>IFERROR(__xludf.DUMMYFUNCTION("""COMPUTED_VALUE"""),"Juli")</f>
        <v>Juli</v>
      </c>
      <c r="D144" s="825"/>
      <c r="E144" s="811" t="s">
        <v>946</v>
      </c>
      <c r="F144" s="847">
        <v>2.2E9</v>
      </c>
      <c r="G144" s="942" t="str">
        <f>IFERROR(__xludf.DUMMYFUNCTION("""COMPUTED_VALUE"""),"Rupiah")</f>
        <v>Rupiah</v>
      </c>
      <c r="H144" s="905">
        <f>IFERROR(__xludf.DUMMYFUNCTION("""COMPUTED_VALUE"""),5.569E8)</f>
        <v>556900000</v>
      </c>
      <c r="I144" s="899">
        <f>IFERROR(__xludf.DUMMYFUNCTION("""COMPUTED_VALUE"""),0.25313636363636366)</f>
        <v>0.2531363636</v>
      </c>
      <c r="J144" s="943" t="str">
        <f>IFERROR(__xludf.DUMMYFUNCTION("""COMPUTED_VALUE"""),"Rupiah")</f>
        <v>Rupiah</v>
      </c>
      <c r="K144" s="944"/>
      <c r="L144" s="894"/>
      <c r="M144" s="951" t="str">
        <f>IFERROR(__xludf.DUMMYFUNCTION("""COMPUTED_VALUE"""),"PNBP")</f>
        <v>PNBP</v>
      </c>
      <c r="N144" s="951" t="str">
        <f>IFERROR(__xludf.DUMMYFUNCTION("""COMPUTED_VALUE"""),"HIBAH")</f>
        <v>HIBAH</v>
      </c>
      <c r="O144" s="951" t="str">
        <f>IFERROR(__xludf.DUMMYFUNCTION("""COMPUTED_VALUE"""),"MITRA/UNV")</f>
        <v>MITRA/UNV</v>
      </c>
      <c r="P144" s="951" t="str">
        <f>IFERROR(__xludf.DUMMYFUNCTION("""COMPUTED_VALUE"""),"POSTDOC")</f>
        <v>POSTDOC</v>
      </c>
      <c r="Q144" s="951" t="str">
        <f>IFERROR(__xludf.DUMMYFUNCTION("""COMPUTED_VALUE"""),"VISITING RSRCH")</f>
        <v>VISITING RSRCH</v>
      </c>
      <c r="R144" s="951" t="str">
        <f>IFERROR(__xludf.DUMMYFUNCTION("""COMPUTED_VALUE"""),"RIMM")</f>
        <v>RIMM</v>
      </c>
      <c r="S144" s="951" t="str">
        <f>IFERROR(__xludf.DUMMYFUNCTION("""COMPUTED_VALUE"""),"LISENSI")</f>
        <v>LISENSI</v>
      </c>
      <c r="T144" s="952" t="str">
        <f>IFERROR(__xludf.DUMMYFUNCTION("""COMPUTED_VALUE"""),"DALAM NEGERI")</f>
        <v>DALAM NEGERI</v>
      </c>
      <c r="U144" s="952" t="str">
        <f>IFERROR(__xludf.DUMMYFUNCTION("""COMPUTED_VALUE"""),"LUAR NEGERI")</f>
        <v>LUAR NEGERI</v>
      </c>
      <c r="V144" s="953" t="str">
        <f>IFERROR(__xludf.DUMMYFUNCTION("""COMPUTED_VALUE"""),"IN CASH")</f>
        <v>IN CASH</v>
      </c>
      <c r="W144" s="953" t="str">
        <f>IFERROR(__xludf.DUMMYFUNCTION("""COMPUTED_VALUE"""),"IN KIND")</f>
        <v>IN KIND</v>
      </c>
      <c r="X144" s="954"/>
    </row>
    <row r="145">
      <c r="A145" s="822"/>
      <c r="B145" s="825"/>
      <c r="C145" s="893" t="str">
        <f>IFERROR(__xludf.DUMMYFUNCTION("""COMPUTED_VALUE"""),"Juli")</f>
        <v>Juli</v>
      </c>
      <c r="D145" s="825"/>
      <c r="E145" s="400"/>
      <c r="F145" s="829"/>
      <c r="G145" s="829"/>
      <c r="H145" s="829"/>
      <c r="I145" s="829"/>
      <c r="J145" s="829"/>
      <c r="K145" s="829"/>
      <c r="L145" s="894"/>
      <c r="M145" s="955">
        <f>IFERROR(__xludf.DUMMYFUNCTION("""COMPUTED_VALUE"""),0.0)</f>
        <v>0</v>
      </c>
      <c r="N145" s="955">
        <f>IFERROR(__xludf.DUMMYFUNCTION("""COMPUTED_VALUE"""),0.0)</f>
        <v>0</v>
      </c>
      <c r="O145" s="955">
        <f>IFERROR(__xludf.DUMMYFUNCTION("""COMPUTED_VALUE"""),0.0)</f>
        <v>0</v>
      </c>
      <c r="P145" s="955">
        <f>IFERROR(__xludf.DUMMYFUNCTION("""COMPUTED_VALUE"""),0.0)</f>
        <v>0</v>
      </c>
      <c r="Q145" s="955">
        <f>IFERROR(__xludf.DUMMYFUNCTION("""COMPUTED_VALUE"""),0.0)</f>
        <v>0</v>
      </c>
      <c r="R145" s="955">
        <f>IFERROR(__xludf.DUMMYFUNCTION("""COMPUTED_VALUE"""),9.36E8)</f>
        <v>936000000</v>
      </c>
      <c r="S145" s="955">
        <f>IFERROR(__xludf.DUMMYFUNCTION("""COMPUTED_VALUE"""),0.0)</f>
        <v>0</v>
      </c>
      <c r="T145" s="955">
        <f>IFERROR(__xludf.DUMMYFUNCTION("""COMPUTED_VALUE"""),9.36E8)</f>
        <v>936000000</v>
      </c>
      <c r="U145" s="955">
        <f>IFERROR(__xludf.DUMMYFUNCTION("""COMPUTED_VALUE"""),0.0)</f>
        <v>0</v>
      </c>
      <c r="V145" s="955">
        <f>IFERROR(__xludf.DUMMYFUNCTION("""COMPUTED_VALUE"""),9.36E8)</f>
        <v>936000000</v>
      </c>
      <c r="W145" s="955">
        <f>IFERROR(__xludf.DUMMYFUNCTION("""COMPUTED_VALUE"""),0.0)</f>
        <v>0</v>
      </c>
      <c r="X145" s="956"/>
    </row>
    <row r="146">
      <c r="A146" s="822"/>
      <c r="B146" s="825"/>
      <c r="C146" s="893" t="str">
        <f>IFERROR(__xludf.DUMMYFUNCTION("""COMPUTED_VALUE"""),"Juli")</f>
        <v>Juli</v>
      </c>
      <c r="D146" s="825"/>
      <c r="E146" s="811" t="s">
        <v>947</v>
      </c>
      <c r="F146" s="812">
        <v>17.0</v>
      </c>
      <c r="G146" s="942" t="str">
        <f>IFERROR(__xludf.DUMMYFUNCTION("""COMPUTED_VALUE"""),"Kerjasama")</f>
        <v>Kerjasama</v>
      </c>
      <c r="H146" s="898">
        <f>IFERROR(__xludf.DUMMYFUNCTION("""COMPUTED_VALUE"""),5.0)</f>
        <v>5</v>
      </c>
      <c r="I146" s="899">
        <f>IFERROR(__xludf.DUMMYFUNCTION("""COMPUTED_VALUE"""),0.29411764705882354)</f>
        <v>0.2941176471</v>
      </c>
      <c r="J146" s="943" t="str">
        <f>IFERROR(__xludf.DUMMYFUNCTION("""COMPUTED_VALUE"""),"Kerjasama")</f>
        <v>Kerjasama</v>
      </c>
      <c r="K146" s="944"/>
      <c r="L146" s="894"/>
      <c r="M146" s="951" t="str">
        <f>IFERROR(__xludf.DUMMYFUNCTION("""COMPUTED_VALUE"""),"PNBP")</f>
        <v>PNBP</v>
      </c>
      <c r="N146" s="951" t="str">
        <f>IFERROR(__xludf.DUMMYFUNCTION("""COMPUTED_VALUE"""),"HIBAH")</f>
        <v>HIBAH</v>
      </c>
      <c r="O146" s="951" t="str">
        <f>IFERROR(__xludf.DUMMYFUNCTION("""COMPUTED_VALUE"""),"LISENSI")</f>
        <v>LISENSI</v>
      </c>
      <c r="P146" s="952" t="str">
        <f>IFERROR(__xludf.DUMMYFUNCTION("""COMPUTED_VALUE"""),"DALAM NEGERI")</f>
        <v>DALAM NEGERI</v>
      </c>
      <c r="Q146" s="952" t="str">
        <f>IFERROR(__xludf.DUMMYFUNCTION("""COMPUTED_VALUE"""),"LUAR NEGERI")</f>
        <v>LUAR NEGERI</v>
      </c>
      <c r="R146" s="935"/>
      <c r="S146" s="935"/>
      <c r="T146" s="935"/>
      <c r="U146" s="935"/>
      <c r="V146" s="935"/>
      <c r="W146" s="935"/>
      <c r="X146" s="935"/>
    </row>
    <row r="147">
      <c r="A147" s="822"/>
      <c r="B147" s="825"/>
      <c r="C147" s="893" t="str">
        <f>IFERROR(__xludf.DUMMYFUNCTION("""COMPUTED_VALUE"""),"Juli")</f>
        <v>Juli</v>
      </c>
      <c r="D147" s="825"/>
      <c r="E147" s="400"/>
      <c r="F147" s="829"/>
      <c r="G147" s="829"/>
      <c r="H147" s="829"/>
      <c r="I147" s="829"/>
      <c r="J147" s="829"/>
      <c r="K147" s="829"/>
      <c r="L147" s="894"/>
      <c r="M147" s="947">
        <f>IFERROR(__xludf.DUMMYFUNCTION("""COMPUTED_VALUE"""),0.0)</f>
        <v>0</v>
      </c>
      <c r="N147" s="947">
        <f>IFERROR(__xludf.DUMMYFUNCTION("""COMPUTED_VALUE"""),0.0)</f>
        <v>0</v>
      </c>
      <c r="O147" s="947">
        <f>IFERROR(__xludf.DUMMYFUNCTION("""COMPUTED_VALUE"""),0.0)</f>
        <v>0</v>
      </c>
      <c r="P147" s="957">
        <f>IFERROR(__xludf.DUMMYFUNCTION("""COMPUTED_VALUE"""),0.0)</f>
        <v>0</v>
      </c>
      <c r="Q147" s="957">
        <f>IFERROR(__xludf.DUMMYFUNCTION("""COMPUTED_VALUE"""),0.0)</f>
        <v>0</v>
      </c>
      <c r="R147" s="958"/>
      <c r="S147" s="958"/>
      <c r="T147" s="935"/>
      <c r="U147" s="959"/>
      <c r="V147" s="959"/>
      <c r="W147" s="959"/>
      <c r="X147" s="959"/>
    </row>
    <row r="148">
      <c r="A148" s="822"/>
      <c r="B148" s="825"/>
      <c r="C148" s="893" t="str">
        <f>IFERROR(__xludf.DUMMYFUNCTION("""COMPUTED_VALUE"""),"Juli")</f>
        <v>Juli</v>
      </c>
      <c r="D148" s="825"/>
      <c r="E148" s="811" t="s">
        <v>948</v>
      </c>
      <c r="F148" s="812">
        <v>26.0</v>
      </c>
      <c r="G148" s="942" t="str">
        <f>IFERROR(__xludf.DUMMYFUNCTION("""COMPUTED_VALUE"""),"Pegawai")</f>
        <v>Pegawai</v>
      </c>
      <c r="H148" s="911">
        <f>IFERROR(__xludf.DUMMYFUNCTION("""COMPUTED_VALUE"""),1.0)</f>
        <v>1</v>
      </c>
      <c r="I148" s="899">
        <f>IFERROR(__xludf.DUMMYFUNCTION("""COMPUTED_VALUE"""),0.038461538461538464)</f>
        <v>0.03846153846</v>
      </c>
      <c r="J148" s="943" t="str">
        <f>IFERROR(__xludf.DUMMYFUNCTION("""COMPUTED_VALUE"""),"Pegawai")</f>
        <v>Pegawai</v>
      </c>
      <c r="K148" s="944"/>
      <c r="L148" s="894"/>
      <c r="M148" s="951" t="str">
        <f>IFERROR(__xludf.DUMMYFUNCTION("""COMPUTED_VALUE"""),"S2")</f>
        <v>S2</v>
      </c>
      <c r="N148" s="951" t="str">
        <f>IFERROR(__xludf.DUMMYFUNCTION("""COMPUTED_VALUE"""),"S3")</f>
        <v>S3</v>
      </c>
      <c r="O148" s="952" t="str">
        <f>IFERROR(__xludf.DUMMYFUNCTION("""COMPUTED_VALUE"""),"IJIN BELAJAR")</f>
        <v>IJIN BELAJAR</v>
      </c>
      <c r="P148" s="960" t="str">
        <f>IFERROR(__xludf.DUMMYFUNCTION("""COMPUTED_VALUE"""),"TUGAS BELAJAR")</f>
        <v>TUGAS BELAJAR</v>
      </c>
      <c r="Q148" s="959"/>
      <c r="R148" s="959"/>
      <c r="S148" s="959"/>
      <c r="T148" s="959"/>
      <c r="U148" s="959"/>
      <c r="V148" s="959"/>
      <c r="W148" s="959"/>
      <c r="X148" s="959"/>
    </row>
    <row r="149">
      <c r="A149" s="822"/>
      <c r="B149" s="825"/>
      <c r="C149" s="893" t="str">
        <f>IFERROR(__xludf.DUMMYFUNCTION("""COMPUTED_VALUE"""),"Juli")</f>
        <v>Juli</v>
      </c>
      <c r="D149" s="825"/>
      <c r="E149" s="400"/>
      <c r="F149" s="829"/>
      <c r="G149" s="829"/>
      <c r="H149" s="829"/>
      <c r="I149" s="829"/>
      <c r="J149" s="829"/>
      <c r="K149" s="829"/>
      <c r="L149" s="894"/>
      <c r="M149" s="947">
        <f>IFERROR(__xludf.DUMMYFUNCTION("""COMPUTED_VALUE"""),0.0)</f>
        <v>0</v>
      </c>
      <c r="N149" s="947">
        <f>IFERROR(__xludf.DUMMYFUNCTION("""COMPUTED_VALUE"""),0.0)</f>
        <v>0</v>
      </c>
      <c r="O149" s="947">
        <f>IFERROR(__xludf.DUMMYFUNCTION("""COMPUTED_VALUE"""),0.0)</f>
        <v>0</v>
      </c>
      <c r="P149" s="947">
        <f>IFERROR(__xludf.DUMMYFUNCTION("""COMPUTED_VALUE"""),0.0)</f>
        <v>0</v>
      </c>
      <c r="Q149" s="961"/>
      <c r="R149" s="961"/>
      <c r="S149" s="959"/>
      <c r="T149" s="959"/>
      <c r="U149" s="959"/>
      <c r="V149" s="959"/>
      <c r="W149" s="959"/>
      <c r="X149" s="959"/>
    </row>
    <row r="150">
      <c r="A150" s="822"/>
      <c r="B150" s="825"/>
      <c r="C150" s="893" t="str">
        <f>IFERROR(__xludf.DUMMYFUNCTION("""COMPUTED_VALUE"""),"Juli")</f>
        <v>Juli</v>
      </c>
      <c r="D150" s="825"/>
      <c r="E150" s="811" t="s">
        <v>949</v>
      </c>
      <c r="F150" s="812">
        <v>5.0</v>
      </c>
      <c r="G150" s="942" t="str">
        <f>IFERROR(__xludf.DUMMYFUNCTION("""COMPUTED_VALUE"""),"Peserta")</f>
        <v>Peserta</v>
      </c>
      <c r="H150" s="911">
        <f>IFERROR(__xludf.DUMMYFUNCTION("""COMPUTED_VALUE"""),3.0)</f>
        <v>3</v>
      </c>
      <c r="I150" s="899">
        <f>IFERROR(__xludf.DUMMYFUNCTION("""COMPUTED_VALUE"""),0.6)</f>
        <v>0.6</v>
      </c>
      <c r="J150" s="943" t="str">
        <f>IFERROR(__xludf.DUMMYFUNCTION("""COMPUTED_VALUE"""),"Peserta")</f>
        <v>Peserta</v>
      </c>
      <c r="K150" s="944"/>
      <c r="L150" s="894"/>
      <c r="M150" s="948" t="str">
        <f>IFERROR(__xludf.DUMMYFUNCTION("""COMPUTED_VALUE"""),"POSTDOCTORAL")</f>
        <v>POSTDOCTORAL</v>
      </c>
      <c r="N150" s="829"/>
      <c r="O150" s="948" t="str">
        <f>IFERROR(__xludf.DUMMYFUNCTION("""COMPUTED_VALUE"""),"VISITING RESEARCH")</f>
        <v>VISITING RESEARCH</v>
      </c>
      <c r="P150" s="829"/>
      <c r="Q150" s="962" t="str">
        <f>IFERROR(__xludf.DUMMYFUNCTION("""COMPUTED_VALUE"""),"PUBLIKASI")</f>
        <v>PUBLIKASI</v>
      </c>
      <c r="R150" s="829"/>
      <c r="S150" s="959"/>
      <c r="T150" s="959"/>
      <c r="U150" s="959"/>
      <c r="V150" s="959"/>
      <c r="W150" s="959"/>
      <c r="X150" s="959"/>
    </row>
    <row r="151">
      <c r="A151" s="822"/>
      <c r="B151" s="825"/>
      <c r="C151" s="893" t="str">
        <f>IFERROR(__xludf.DUMMYFUNCTION("""COMPUTED_VALUE"""),"Juli")</f>
        <v>Juli</v>
      </c>
      <c r="D151" s="825"/>
      <c r="E151" s="823"/>
      <c r="F151" s="825"/>
      <c r="G151" s="825"/>
      <c r="H151" s="825"/>
      <c r="I151" s="825"/>
      <c r="J151" s="825"/>
      <c r="K151" s="825"/>
      <c r="L151" s="894"/>
      <c r="M151" s="946" t="str">
        <f>IFERROR(__xludf.DUMMYFUNCTION("""COMPUTED_VALUE"""),"Dalam Negeri")</f>
        <v>Dalam Negeri</v>
      </c>
      <c r="N151" s="946" t="str">
        <f>IFERROR(__xludf.DUMMYFUNCTION("""COMPUTED_VALUE"""),"Luar Negeri")</f>
        <v>Luar Negeri</v>
      </c>
      <c r="O151" s="946" t="str">
        <f>IFERROR(__xludf.DUMMYFUNCTION("""COMPUTED_VALUE"""),"Dalam Negeri")</f>
        <v>Dalam Negeri</v>
      </c>
      <c r="P151" s="946" t="str">
        <f>IFERROR(__xludf.DUMMYFUNCTION("""COMPUTED_VALUE"""),"Luar Negeri")</f>
        <v>Luar Negeri</v>
      </c>
      <c r="Q151" s="963" t="str">
        <f>IFERROR(__xludf.DUMMYFUNCTION("""COMPUTED_VALUE"""),"Dalam Negeri")</f>
        <v>Dalam Negeri</v>
      </c>
      <c r="R151" s="963" t="str">
        <f>IFERROR(__xludf.DUMMYFUNCTION("""COMPUTED_VALUE"""),"Luar Negeri")</f>
        <v>Luar Negeri</v>
      </c>
      <c r="S151" s="959"/>
      <c r="T151" s="959"/>
      <c r="U151" s="959"/>
      <c r="V151" s="959"/>
      <c r="W151" s="959"/>
      <c r="X151" s="959"/>
    </row>
    <row r="152">
      <c r="A152" s="822"/>
      <c r="B152" s="825"/>
      <c r="C152" s="893" t="str">
        <f>IFERROR(__xludf.DUMMYFUNCTION("""COMPUTED_VALUE"""),"Juli")</f>
        <v>Juli</v>
      </c>
      <c r="D152" s="875"/>
      <c r="E152" s="874"/>
      <c r="F152" s="863"/>
      <c r="G152" s="875"/>
      <c r="H152" s="875"/>
      <c r="I152" s="875"/>
      <c r="J152" s="875"/>
      <c r="K152" s="875"/>
      <c r="L152" s="915"/>
      <c r="M152" s="964">
        <f>IFERROR(__xludf.DUMMYFUNCTION("""COMPUTED_VALUE"""),0.0)</f>
        <v>0</v>
      </c>
      <c r="N152" s="964">
        <f>IFERROR(__xludf.DUMMYFUNCTION("""COMPUTED_VALUE"""),0.0)</f>
        <v>0</v>
      </c>
      <c r="O152" s="964">
        <f>IFERROR(__xludf.DUMMYFUNCTION("""COMPUTED_VALUE"""),0.0)</f>
        <v>0</v>
      </c>
      <c r="P152" s="964">
        <f>IFERROR(__xludf.DUMMYFUNCTION("""COMPUTED_VALUE"""),0.0)</f>
        <v>0</v>
      </c>
      <c r="Q152" s="964">
        <f>IFERROR(__xludf.DUMMYFUNCTION("""COMPUTED_VALUE"""),0.0)</f>
        <v>0</v>
      </c>
      <c r="R152" s="964">
        <f>IFERROR(__xludf.DUMMYFUNCTION("""COMPUTED_VALUE"""),0.0)</f>
        <v>0</v>
      </c>
      <c r="S152" s="959"/>
      <c r="T152" s="959"/>
      <c r="U152" s="959"/>
      <c r="V152" s="959"/>
      <c r="W152" s="959"/>
      <c r="X152" s="959"/>
    </row>
    <row r="153">
      <c r="A153" s="822"/>
      <c r="B153" s="825"/>
      <c r="C153" s="893" t="str">
        <f>IFERROR(__xludf.DUMMYFUNCTION("""COMPUTED_VALUE"""),"Juli")</f>
        <v>Juli</v>
      </c>
      <c r="D153" s="917" t="str">
        <f>IFERROR(__xludf.DUMMYFUNCTION("""COMPUTED_VALUE"""),"Capaian Lainnya")</f>
        <v>Capaian Lainnya</v>
      </c>
      <c r="E153" s="867" t="s">
        <v>950</v>
      </c>
      <c r="F153" s="868"/>
      <c r="G153" s="965" t="str">
        <f>IFERROR(__xludf.DUMMYFUNCTION("""COMPUTED_VALUE"""),"Sitasi")</f>
        <v>Sitasi</v>
      </c>
      <c r="H153" s="919">
        <f>IFERROR(__xludf.DUMMYFUNCTION("""COMPUTED_VALUE"""),813.0)</f>
        <v>813</v>
      </c>
      <c r="I153" s="966"/>
      <c r="J153" s="967" t="str">
        <f>IFERROR(__xludf.DUMMYFUNCTION("""COMPUTED_VALUE"""),"Sitasi")</f>
        <v>Sitasi</v>
      </c>
      <c r="K153" s="968"/>
      <c r="L153" s="969"/>
      <c r="M153" s="951" t="str">
        <f>IFERROR(__xludf.DUMMYFUNCTION("""COMPUTED_VALUE"""),"DOK PUBLISHED")</f>
        <v>DOK PUBLISHED</v>
      </c>
      <c r="N153" s="951" t="str">
        <f>IFERROR(__xludf.DUMMYFUNCTION("""COMPUTED_VALUE"""),"SITASI")</f>
        <v>SITASI</v>
      </c>
      <c r="O153" s="959"/>
      <c r="P153" s="959"/>
      <c r="Q153" s="959"/>
      <c r="R153" s="959"/>
      <c r="S153" s="959"/>
      <c r="T153" s="959"/>
      <c r="U153" s="959"/>
      <c r="V153" s="959"/>
      <c r="W153" s="959"/>
      <c r="X153" s="959"/>
    </row>
    <row r="154">
      <c r="A154" s="822"/>
      <c r="B154" s="825"/>
      <c r="C154" s="893" t="str">
        <f>IFERROR(__xludf.DUMMYFUNCTION("""COMPUTED_VALUE"""),"Juli")</f>
        <v>Juli</v>
      </c>
      <c r="D154" s="825"/>
      <c r="E154" s="874"/>
      <c r="F154" s="875"/>
      <c r="G154" s="875"/>
      <c r="H154" s="875"/>
      <c r="I154" s="875"/>
      <c r="J154" s="875"/>
      <c r="K154" s="875"/>
      <c r="L154" s="894"/>
      <c r="M154" s="947">
        <f>IFERROR(__xludf.DUMMYFUNCTION("""COMPUTED_VALUE"""),0.0)</f>
        <v>0</v>
      </c>
      <c r="N154" s="947">
        <f>IFERROR(__xludf.DUMMYFUNCTION("""COMPUTED_VALUE"""),0.0)</f>
        <v>0</v>
      </c>
      <c r="O154" s="959"/>
      <c r="P154" s="959"/>
      <c r="Q154" s="959"/>
      <c r="R154" s="959"/>
      <c r="S154" s="959"/>
      <c r="T154" s="959"/>
      <c r="U154" s="959"/>
      <c r="V154" s="959"/>
      <c r="W154" s="959"/>
      <c r="X154" s="959"/>
    </row>
    <row r="155">
      <c r="A155" s="822"/>
      <c r="B155" s="825"/>
      <c r="C155" s="893" t="str">
        <f>IFERROR(__xludf.DUMMYFUNCTION("""COMPUTED_VALUE"""),"Juli")</f>
        <v>Juli</v>
      </c>
      <c r="D155" s="825"/>
      <c r="E155" s="867" t="s">
        <v>951</v>
      </c>
      <c r="F155" s="868"/>
      <c r="G155" s="970" t="str">
        <f>IFERROR(__xludf.DUMMYFUNCTION("""COMPUTED_VALUE"""),"Publikasi Nasional")</f>
        <v>Publikasi Nasional</v>
      </c>
      <c r="H155" s="925">
        <f>IFERROR(__xludf.DUMMYFUNCTION("""COMPUTED_VALUE"""),2.0)</f>
        <v>2</v>
      </c>
      <c r="I155" s="971"/>
      <c r="J155" s="972" t="str">
        <f>IFERROR(__xludf.DUMMYFUNCTION("""COMPUTED_VALUE"""),"Publikasi Nasional")</f>
        <v>Publikasi Nasional</v>
      </c>
      <c r="K155" s="925"/>
      <c r="L155" s="894"/>
      <c r="M155" s="959"/>
      <c r="N155" s="959"/>
      <c r="O155" s="959"/>
      <c r="P155" s="959"/>
      <c r="Q155" s="959"/>
      <c r="R155" s="959"/>
      <c r="S155" s="959"/>
      <c r="T155" s="959"/>
      <c r="U155" s="959"/>
      <c r="V155" s="959"/>
      <c r="W155" s="959"/>
      <c r="X155" s="959"/>
    </row>
    <row r="156">
      <c r="A156" s="673"/>
      <c r="B156" s="881"/>
      <c r="C156" s="893" t="str">
        <f>IFERROR(__xludf.DUMMYFUNCTION("""COMPUTED_VALUE"""),"Juli")</f>
        <v>Juli</v>
      </c>
      <c r="D156" s="881"/>
      <c r="E156" s="674"/>
      <c r="F156" s="881"/>
      <c r="G156" s="881"/>
      <c r="H156" s="881"/>
      <c r="I156" s="881"/>
      <c r="J156" s="881"/>
      <c r="K156" s="881"/>
      <c r="L156" s="930"/>
      <c r="M156" s="959"/>
      <c r="N156" s="959"/>
      <c r="O156" s="959"/>
      <c r="P156" s="959"/>
      <c r="Q156" s="959"/>
      <c r="R156" s="959"/>
      <c r="S156" s="959"/>
      <c r="T156" s="959"/>
      <c r="U156" s="959"/>
      <c r="V156" s="959"/>
      <c r="W156" s="959"/>
      <c r="X156" s="959"/>
    </row>
    <row r="157">
      <c r="A157" s="807">
        <f>IFERROR(__xludf.DUMMYFUNCTION("""COMPUTED_VALUE"""),8.0)</f>
        <v>8</v>
      </c>
      <c r="B157" s="883" t="str">
        <f>IFERROR(__xludf.DUMMYFUNCTION("""COMPUTED_VALUE"""),"Agustus")</f>
        <v>Agustus</v>
      </c>
      <c r="C157" s="973">
        <f>IFERROR(__xludf.DUMMYFUNCTION("""COMPUTED_VALUE"""),45507.0)</f>
        <v>45507</v>
      </c>
      <c r="D157" s="931" t="str">
        <f>IFERROR(__xludf.DUMMYFUNCTION("""COMPUTED_VALUE"""),"Terselenggaranya riset dan inovasi di bidang elektronikan dan informatika")</f>
        <v>Terselenggaranya riset dan inovasi di bidang elektronikan dan informatika</v>
      </c>
      <c r="E157" s="811" t="s">
        <v>943</v>
      </c>
      <c r="F157" s="812">
        <v>2.0</v>
      </c>
      <c r="G157" s="932" t="str">
        <f>IFERROR(__xludf.DUMMYFUNCTION("""COMPUTED_VALUE"""),"Purwarupa")</f>
        <v>Purwarupa</v>
      </c>
      <c r="H157" s="887">
        <f>IFERROR(__xludf.DUMMYFUNCTION("""COMPUTED_VALUE"""),0.0)</f>
        <v>0</v>
      </c>
      <c r="I157" s="888">
        <f>IFERROR(__xludf.DUMMYFUNCTION("""COMPUTED_VALUE"""),0.0)</f>
        <v>0</v>
      </c>
      <c r="J157" s="933" t="str">
        <f>IFERROR(__xludf.DUMMYFUNCTION("""COMPUTED_VALUE"""),"Purwarupa")</f>
        <v>Purwarupa</v>
      </c>
      <c r="K157" s="934"/>
      <c r="L157" s="891">
        <f>IFERROR(__xludf.DUMMYFUNCTION("""COMPUTED_VALUE"""),0.24795936416524653)</f>
        <v>0.2479593642</v>
      </c>
      <c r="M157" s="819" t="str">
        <f>IFERROR(__xludf.DUMMYFUNCTION("""COMPUTED_VALUE"""),"HARDWARE PROTOTYPE")</f>
        <v>HARDWARE PROTOTYPE</v>
      </c>
      <c r="N157" s="820"/>
      <c r="O157" s="819" t="str">
        <f>IFERROR(__xludf.DUMMYFUNCTION("""COMPUTED_VALUE"""),"SOFTWARE PROTOTYPE")</f>
        <v>SOFTWARE PROTOTYPE</v>
      </c>
      <c r="P157" s="820"/>
      <c r="Q157" s="819" t="str">
        <f>IFERROR(__xludf.DUMMYFUNCTION("""COMPUTED_VALUE"""),"DESAIN PROTOTYPE")</f>
        <v>DESAIN PROTOTYPE</v>
      </c>
      <c r="R157" s="820"/>
      <c r="S157" s="935"/>
      <c r="T157" s="935"/>
      <c r="U157" s="935"/>
      <c r="V157" s="935"/>
      <c r="W157" s="935"/>
      <c r="X157" s="935"/>
    </row>
    <row r="158">
      <c r="A158" s="822"/>
      <c r="B158" s="825"/>
      <c r="C158" s="974">
        <f>IFERROR(__xludf.DUMMYFUNCTION("""COMPUTED_VALUE"""),45507.0)</f>
        <v>45507</v>
      </c>
      <c r="D158" s="825"/>
      <c r="E158" s="823"/>
      <c r="F158" s="825"/>
      <c r="G158" s="825"/>
      <c r="H158" s="825"/>
      <c r="I158" s="825"/>
      <c r="J158" s="825"/>
      <c r="K158" s="825"/>
      <c r="L158" s="894"/>
      <c r="M158" s="827" t="str">
        <f>IFERROR(__xludf.DUMMYFUNCTION("""COMPUTED_VALUE"""),"Selesai")</f>
        <v>Selesai</v>
      </c>
      <c r="N158" s="827" t="str">
        <f>IFERROR(__xludf.DUMMYFUNCTION("""COMPUTED_VALUE"""),"Skala Uji Lab")</f>
        <v>Skala Uji Lab</v>
      </c>
      <c r="O158" s="827" t="str">
        <f>IFERROR(__xludf.DUMMYFUNCTION("""COMPUTED_VALUE"""),"Selesai")</f>
        <v>Selesai</v>
      </c>
      <c r="P158" s="827" t="str">
        <f>IFERROR(__xludf.DUMMYFUNCTION("""COMPUTED_VALUE"""),"Skala Uji Lab")</f>
        <v>Skala Uji Lab</v>
      </c>
      <c r="Q158" s="827" t="str">
        <f>IFERROR(__xludf.DUMMYFUNCTION("""COMPUTED_VALUE"""),"Selesai")</f>
        <v>Selesai</v>
      </c>
      <c r="R158" s="936" t="str">
        <f>IFERROR(__xludf.DUMMYFUNCTION("""COMPUTED_VALUE"""),"Skala Uji Lab")</f>
        <v>Skala Uji Lab</v>
      </c>
      <c r="S158" s="937"/>
      <c r="T158" s="938"/>
      <c r="U158" s="935"/>
      <c r="V158" s="935"/>
      <c r="W158" s="935"/>
      <c r="X158" s="935"/>
    </row>
    <row r="159">
      <c r="A159" s="822"/>
      <c r="B159" s="825"/>
      <c r="C159" s="974">
        <f>IFERROR(__xludf.DUMMYFUNCTION("""COMPUTED_VALUE"""),45507.0)</f>
        <v>45507</v>
      </c>
      <c r="D159" s="825"/>
      <c r="E159" s="400"/>
      <c r="F159" s="829"/>
      <c r="G159" s="829"/>
      <c r="H159" s="829"/>
      <c r="I159" s="829"/>
      <c r="J159" s="829"/>
      <c r="K159" s="829"/>
      <c r="L159" s="894"/>
      <c r="M159" s="830">
        <f>IFERROR(__xludf.DUMMYFUNCTION("""COMPUTED_VALUE"""),0.0)</f>
        <v>0</v>
      </c>
      <c r="N159" s="830">
        <f>IFERROR(__xludf.DUMMYFUNCTION("""COMPUTED_VALUE"""),0.0)</f>
        <v>0</v>
      </c>
      <c r="O159" s="830">
        <f>IFERROR(__xludf.DUMMYFUNCTION("""COMPUTED_VALUE"""),0.0)</f>
        <v>0</v>
      </c>
      <c r="P159" s="830">
        <f>IFERROR(__xludf.DUMMYFUNCTION("""COMPUTED_VALUE"""),0.0)</f>
        <v>0</v>
      </c>
      <c r="Q159" s="830">
        <f>IFERROR(__xludf.DUMMYFUNCTION("""COMPUTED_VALUE"""),0.0)</f>
        <v>0</v>
      </c>
      <c r="R159" s="939">
        <f>IFERROR(__xludf.DUMMYFUNCTION("""COMPUTED_VALUE"""),0.0)</f>
        <v>0</v>
      </c>
      <c r="S159" s="940"/>
      <c r="T159" s="941"/>
      <c r="U159" s="935"/>
      <c r="V159" s="935"/>
      <c r="W159" s="935"/>
      <c r="X159" s="935"/>
    </row>
    <row r="160">
      <c r="A160" s="822"/>
      <c r="B160" s="825"/>
      <c r="C160" s="974">
        <f>IFERROR(__xludf.DUMMYFUNCTION("""COMPUTED_VALUE"""),45507.0)</f>
        <v>45507</v>
      </c>
      <c r="D160" s="825"/>
      <c r="E160" s="811" t="s">
        <v>944</v>
      </c>
      <c r="F160" s="812">
        <v>80.0</v>
      </c>
      <c r="G160" s="942" t="str">
        <f>IFERROR(__xludf.DUMMYFUNCTION("""COMPUTED_VALUE"""),"Publikasi Internasional")</f>
        <v>Publikasi Internasional</v>
      </c>
      <c r="H160" s="898">
        <f>IFERROR(__xludf.DUMMYFUNCTION("""COMPUTED_VALUE"""),34.0)</f>
        <v>34</v>
      </c>
      <c r="I160" s="899">
        <f>IFERROR(__xludf.DUMMYFUNCTION("""COMPUTED_VALUE"""),0.425)</f>
        <v>0.425</v>
      </c>
      <c r="J160" s="943" t="str">
        <f>IFERROR(__xludf.DUMMYFUNCTION("""COMPUTED_VALUE"""),"Publikasi Internasional")</f>
        <v>Publikasi Internasional</v>
      </c>
      <c r="K160" s="944"/>
      <c r="L160" s="894"/>
      <c r="M160" s="945" t="str">
        <f>IFERROR(__xludf.DUMMYFUNCTION("""COMPUTED_VALUE"""),"JURNAL")</f>
        <v>JURNAL</v>
      </c>
      <c r="N160" s="829"/>
      <c r="O160" s="945" t="str">
        <f>IFERROR(__xludf.DUMMYFUNCTION("""COMPUTED_VALUE"""),"PHROSIDING")</f>
        <v>PHROSIDING</v>
      </c>
      <c r="P160" s="829"/>
      <c r="Q160" s="945" t="str">
        <f>IFERROR(__xludf.DUMMYFUNCTION("""COMPUTED_VALUE"""),"BUKU")</f>
        <v>BUKU</v>
      </c>
      <c r="R160" s="829"/>
      <c r="S160" s="945" t="str">
        <f>IFERROR(__xludf.DUMMYFUNCTION("""COMPUTED_VALUE"""),"BAGIAN BUKU")</f>
        <v>BAGIAN BUKU</v>
      </c>
      <c r="T160" s="829"/>
      <c r="U160" s="935"/>
      <c r="V160" s="935"/>
      <c r="W160" s="935"/>
      <c r="X160" s="935"/>
    </row>
    <row r="161">
      <c r="A161" s="822"/>
      <c r="B161" s="825"/>
      <c r="C161" s="974">
        <f>IFERROR(__xludf.DUMMYFUNCTION("""COMPUTED_VALUE"""),45507.0)</f>
        <v>45507</v>
      </c>
      <c r="D161" s="825"/>
      <c r="E161" s="823"/>
      <c r="F161" s="825"/>
      <c r="G161" s="825"/>
      <c r="H161" s="825"/>
      <c r="I161" s="825"/>
      <c r="J161" s="825"/>
      <c r="K161" s="825"/>
      <c r="L161" s="894"/>
      <c r="M161" s="946" t="str">
        <f>IFERROR(__xludf.DUMMYFUNCTION("""COMPUTED_VALUE"""),"Published")</f>
        <v>Published</v>
      </c>
      <c r="N161" s="946" t="str">
        <f>IFERROR(__xludf.DUMMYFUNCTION("""COMPUTED_VALUE"""),"Accepted")</f>
        <v>Accepted</v>
      </c>
      <c r="O161" s="946" t="str">
        <f>IFERROR(__xludf.DUMMYFUNCTION("""COMPUTED_VALUE"""),"Published")</f>
        <v>Published</v>
      </c>
      <c r="P161" s="946" t="str">
        <f>IFERROR(__xludf.DUMMYFUNCTION("""COMPUTED_VALUE"""),"Accepted")</f>
        <v>Accepted</v>
      </c>
      <c r="Q161" s="946" t="str">
        <f>IFERROR(__xludf.DUMMYFUNCTION("""COMPUTED_VALUE"""),"Published")</f>
        <v>Published</v>
      </c>
      <c r="R161" s="946" t="str">
        <f>IFERROR(__xludf.DUMMYFUNCTION("""COMPUTED_VALUE"""),"Accepted")</f>
        <v>Accepted</v>
      </c>
      <c r="S161" s="946" t="str">
        <f>IFERROR(__xludf.DUMMYFUNCTION("""COMPUTED_VALUE"""),"Published")</f>
        <v>Published</v>
      </c>
      <c r="T161" s="946" t="str">
        <f>IFERROR(__xludf.DUMMYFUNCTION("""COMPUTED_VALUE"""),"Accepted")</f>
        <v>Accepted</v>
      </c>
      <c r="U161" s="935"/>
      <c r="V161" s="935"/>
      <c r="W161" s="935"/>
      <c r="X161" s="935"/>
    </row>
    <row r="162">
      <c r="A162" s="822"/>
      <c r="B162" s="825"/>
      <c r="C162" s="974">
        <f>IFERROR(__xludf.DUMMYFUNCTION("""COMPUTED_VALUE"""),45507.0)</f>
        <v>45507</v>
      </c>
      <c r="D162" s="825"/>
      <c r="E162" s="400"/>
      <c r="F162" s="829"/>
      <c r="G162" s="829"/>
      <c r="H162" s="829"/>
      <c r="I162" s="829"/>
      <c r="J162" s="829"/>
      <c r="K162" s="829"/>
      <c r="L162" s="894"/>
      <c r="M162" s="830">
        <f>IFERROR(__xludf.DUMMYFUNCTION("""COMPUTED_VALUE"""),47.0)</f>
        <v>47</v>
      </c>
      <c r="N162" s="947">
        <f>IFERROR(__xludf.DUMMYFUNCTION("""COMPUTED_VALUE"""),0.0)</f>
        <v>0</v>
      </c>
      <c r="O162" s="947">
        <f>IFERROR(__xludf.DUMMYFUNCTION("""COMPUTED_VALUE"""),7.0)</f>
        <v>7</v>
      </c>
      <c r="P162" s="947">
        <f>IFERROR(__xludf.DUMMYFUNCTION("""COMPUTED_VALUE"""),0.0)</f>
        <v>0</v>
      </c>
      <c r="Q162" s="947">
        <f>IFERROR(__xludf.DUMMYFUNCTION("""COMPUTED_VALUE"""),0.0)</f>
        <v>0</v>
      </c>
      <c r="R162" s="947">
        <f>IFERROR(__xludf.DUMMYFUNCTION("""COMPUTED_VALUE"""),0.0)</f>
        <v>0</v>
      </c>
      <c r="S162" s="947">
        <f>IFERROR(__xludf.DUMMYFUNCTION("""COMPUTED_VALUE"""),0.0)</f>
        <v>0</v>
      </c>
      <c r="T162" s="947">
        <f>IFERROR(__xludf.DUMMYFUNCTION("""COMPUTED_VALUE"""),0.0)</f>
        <v>0</v>
      </c>
      <c r="U162" s="935"/>
      <c r="V162" s="935"/>
      <c r="W162" s="935"/>
      <c r="X162" s="935"/>
    </row>
    <row r="163">
      <c r="A163" s="822"/>
      <c r="B163" s="825"/>
      <c r="C163" s="974">
        <f>IFERROR(__xludf.DUMMYFUNCTION("""COMPUTED_VALUE"""),45507.0)</f>
        <v>45507</v>
      </c>
      <c r="D163" s="825"/>
      <c r="E163" s="811" t="s">
        <v>945</v>
      </c>
      <c r="F163" s="812">
        <v>24.0</v>
      </c>
      <c r="G163" s="942" t="str">
        <f>IFERROR(__xludf.DUMMYFUNCTION("""COMPUTED_VALUE"""),"Kekayaan Intelektual")</f>
        <v>Kekayaan Intelektual</v>
      </c>
      <c r="H163" s="898">
        <f>IFERROR(__xludf.DUMMYFUNCTION("""COMPUTED_VALUE"""),3.0)</f>
        <v>3</v>
      </c>
      <c r="I163" s="899">
        <f>IFERROR(__xludf.DUMMYFUNCTION("""COMPUTED_VALUE"""),0.125)</f>
        <v>0.125</v>
      </c>
      <c r="J163" s="943" t="str">
        <f>IFERROR(__xludf.DUMMYFUNCTION("""COMPUTED_VALUE"""),"Kekayaan Intelektual")</f>
        <v>Kekayaan Intelektual</v>
      </c>
      <c r="K163" s="944"/>
      <c r="L163" s="894"/>
      <c r="M163" s="948" t="str">
        <f>IFERROR(__xludf.DUMMYFUNCTION("""COMPUTED_VALUE"""),"PATEN")</f>
        <v>PATEN</v>
      </c>
      <c r="N163" s="829"/>
      <c r="O163" s="948" t="str">
        <f>IFERROR(__xludf.DUMMYFUNCTION("""COMPUTED_VALUE"""),"HAK CIPTA")</f>
        <v>HAK CIPTA</v>
      </c>
      <c r="P163" s="829"/>
      <c r="Q163" s="948" t="str">
        <f>IFERROR(__xludf.DUMMYFUNCTION("""COMPUTED_VALUE"""),"DESAIN INDUSTRI")</f>
        <v>DESAIN INDUSTRI</v>
      </c>
      <c r="R163" s="829"/>
      <c r="S163" s="206"/>
      <c r="U163" s="935"/>
      <c r="V163" s="935"/>
      <c r="W163" s="935"/>
      <c r="X163" s="935"/>
    </row>
    <row r="164">
      <c r="A164" s="822"/>
      <c r="B164" s="825"/>
      <c r="C164" s="974">
        <f>IFERROR(__xludf.DUMMYFUNCTION("""COMPUTED_VALUE"""),45507.0)</f>
        <v>45507</v>
      </c>
      <c r="D164" s="825"/>
      <c r="E164" s="823"/>
      <c r="F164" s="825"/>
      <c r="G164" s="825"/>
      <c r="H164" s="825"/>
      <c r="I164" s="825"/>
      <c r="J164" s="825"/>
      <c r="K164" s="825"/>
      <c r="L164" s="894"/>
      <c r="M164" s="949" t="str">
        <f>IFERROR(__xludf.DUMMYFUNCTION("""COMPUTED_VALUE"""),"Terdaftar DJKI")</f>
        <v>Terdaftar DJKI</v>
      </c>
      <c r="N164" s="949" t="str">
        <f>IFERROR(__xludf.DUMMYFUNCTION("""COMPUTED_VALUE"""),"Tersertifikasi")</f>
        <v>Tersertifikasi</v>
      </c>
      <c r="O164" s="949" t="str">
        <f>IFERROR(__xludf.DUMMYFUNCTION("""COMPUTED_VALUE"""),"Terdaftar DJKI")</f>
        <v>Terdaftar DJKI</v>
      </c>
      <c r="P164" s="949" t="str">
        <f>IFERROR(__xludf.DUMMYFUNCTION("""COMPUTED_VALUE"""),"Tersertifikasi")</f>
        <v>Tersertifikasi</v>
      </c>
      <c r="Q164" s="949" t="str">
        <f>IFERROR(__xludf.DUMMYFUNCTION("""COMPUTED_VALUE"""),"Terdaftar DJKI")</f>
        <v>Terdaftar DJKI</v>
      </c>
      <c r="R164" s="949" t="str">
        <f>IFERROR(__xludf.DUMMYFUNCTION("""COMPUTED_VALUE"""),"Tersertifikasi")</f>
        <v>Tersertifikasi</v>
      </c>
      <c r="S164" s="935"/>
      <c r="T164" s="935"/>
      <c r="U164" s="935"/>
      <c r="V164" s="935"/>
      <c r="W164" s="935"/>
      <c r="X164" s="935"/>
    </row>
    <row r="165">
      <c r="A165" s="822"/>
      <c r="B165" s="825"/>
      <c r="C165" s="974">
        <f>IFERROR(__xludf.DUMMYFUNCTION("""COMPUTED_VALUE"""),45507.0)</f>
        <v>45507</v>
      </c>
      <c r="D165" s="825"/>
      <c r="E165" s="400"/>
      <c r="F165" s="829"/>
      <c r="G165" s="829"/>
      <c r="H165" s="829"/>
      <c r="I165" s="829"/>
      <c r="J165" s="829"/>
      <c r="K165" s="829"/>
      <c r="L165" s="894"/>
      <c r="M165" s="947">
        <f>IFERROR(__xludf.DUMMYFUNCTION("""COMPUTED_VALUE"""),0.0)</f>
        <v>0</v>
      </c>
      <c r="N165" s="947">
        <f>IFERROR(__xludf.DUMMYFUNCTION("""COMPUTED_VALUE"""),0.0)</f>
        <v>0</v>
      </c>
      <c r="O165" s="947">
        <f>IFERROR(__xludf.DUMMYFUNCTION("""COMPUTED_VALUE"""),0.0)</f>
        <v>0</v>
      </c>
      <c r="P165" s="947">
        <f>IFERROR(__xludf.DUMMYFUNCTION("""COMPUTED_VALUE"""),0.0)</f>
        <v>0</v>
      </c>
      <c r="Q165" s="947">
        <f>IFERROR(__xludf.DUMMYFUNCTION("""COMPUTED_VALUE"""),0.0)</f>
        <v>0</v>
      </c>
      <c r="R165" s="947">
        <f>IFERROR(__xludf.DUMMYFUNCTION("""COMPUTED_VALUE"""),0.0)</f>
        <v>0</v>
      </c>
      <c r="S165" s="950"/>
      <c r="T165" s="950"/>
      <c r="U165" s="950"/>
      <c r="V165" s="950"/>
      <c r="W165" s="950"/>
      <c r="X165" s="935"/>
    </row>
    <row r="166">
      <c r="A166" s="822"/>
      <c r="B166" s="825"/>
      <c r="C166" s="974">
        <f>IFERROR(__xludf.DUMMYFUNCTION("""COMPUTED_VALUE"""),45507.0)</f>
        <v>45507</v>
      </c>
      <c r="D166" s="825"/>
      <c r="E166" s="811" t="s">
        <v>946</v>
      </c>
      <c r="F166" s="847">
        <v>2.2E9</v>
      </c>
      <c r="G166" s="942" t="str">
        <f>IFERROR(__xludf.DUMMYFUNCTION("""COMPUTED_VALUE"""),"Rupiah")</f>
        <v>Rupiah</v>
      </c>
      <c r="H166" s="905">
        <f>IFERROR(__xludf.DUMMYFUNCTION("""COMPUTED_VALUE"""),5.569E8)</f>
        <v>556900000</v>
      </c>
      <c r="I166" s="899">
        <f>IFERROR(__xludf.DUMMYFUNCTION("""COMPUTED_VALUE"""),0.25313636363636366)</f>
        <v>0.2531363636</v>
      </c>
      <c r="J166" s="943" t="str">
        <f>IFERROR(__xludf.DUMMYFUNCTION("""COMPUTED_VALUE"""),"Rupiah")</f>
        <v>Rupiah</v>
      </c>
      <c r="K166" s="944"/>
      <c r="L166" s="894"/>
      <c r="M166" s="951" t="str">
        <f>IFERROR(__xludf.DUMMYFUNCTION("""COMPUTED_VALUE"""),"PNBP")</f>
        <v>PNBP</v>
      </c>
      <c r="N166" s="951" t="str">
        <f>IFERROR(__xludf.DUMMYFUNCTION("""COMPUTED_VALUE"""),"HIBAH")</f>
        <v>HIBAH</v>
      </c>
      <c r="O166" s="951" t="str">
        <f>IFERROR(__xludf.DUMMYFUNCTION("""COMPUTED_VALUE"""),"MITRA/UNV")</f>
        <v>MITRA/UNV</v>
      </c>
      <c r="P166" s="951" t="str">
        <f>IFERROR(__xludf.DUMMYFUNCTION("""COMPUTED_VALUE"""),"POSTDOC")</f>
        <v>POSTDOC</v>
      </c>
      <c r="Q166" s="951" t="str">
        <f>IFERROR(__xludf.DUMMYFUNCTION("""COMPUTED_VALUE"""),"VISITING RSRCH")</f>
        <v>VISITING RSRCH</v>
      </c>
      <c r="R166" s="951" t="str">
        <f>IFERROR(__xludf.DUMMYFUNCTION("""COMPUTED_VALUE"""),"RIMM")</f>
        <v>RIMM</v>
      </c>
      <c r="S166" s="951" t="str">
        <f>IFERROR(__xludf.DUMMYFUNCTION("""COMPUTED_VALUE"""),"LISENSI")</f>
        <v>LISENSI</v>
      </c>
      <c r="T166" s="952" t="str">
        <f>IFERROR(__xludf.DUMMYFUNCTION("""COMPUTED_VALUE"""),"DALAM NEGERI")</f>
        <v>DALAM NEGERI</v>
      </c>
      <c r="U166" s="952" t="str">
        <f>IFERROR(__xludf.DUMMYFUNCTION("""COMPUTED_VALUE"""),"LUAR NEGERI")</f>
        <v>LUAR NEGERI</v>
      </c>
      <c r="V166" s="953" t="str">
        <f>IFERROR(__xludf.DUMMYFUNCTION("""COMPUTED_VALUE"""),"IN CASH")</f>
        <v>IN CASH</v>
      </c>
      <c r="W166" s="953" t="str">
        <f>IFERROR(__xludf.DUMMYFUNCTION("""COMPUTED_VALUE"""),"IN KIND")</f>
        <v>IN KIND</v>
      </c>
      <c r="X166" s="954"/>
    </row>
    <row r="167">
      <c r="A167" s="822"/>
      <c r="B167" s="825"/>
      <c r="C167" s="974">
        <f>IFERROR(__xludf.DUMMYFUNCTION("""COMPUTED_VALUE"""),45507.0)</f>
        <v>45507</v>
      </c>
      <c r="D167" s="825"/>
      <c r="E167" s="400"/>
      <c r="F167" s="829"/>
      <c r="G167" s="829"/>
      <c r="H167" s="829"/>
      <c r="I167" s="829"/>
      <c r="J167" s="829"/>
      <c r="K167" s="829"/>
      <c r="L167" s="894"/>
      <c r="M167" s="955">
        <f>IFERROR(__xludf.DUMMYFUNCTION("""COMPUTED_VALUE"""),0.0)</f>
        <v>0</v>
      </c>
      <c r="N167" s="955">
        <f>IFERROR(__xludf.DUMMYFUNCTION("""COMPUTED_VALUE"""),0.0)</f>
        <v>0</v>
      </c>
      <c r="O167" s="955">
        <f>IFERROR(__xludf.DUMMYFUNCTION("""COMPUTED_VALUE"""),0.0)</f>
        <v>0</v>
      </c>
      <c r="P167" s="955">
        <f>IFERROR(__xludf.DUMMYFUNCTION("""COMPUTED_VALUE"""),0.0)</f>
        <v>0</v>
      </c>
      <c r="Q167" s="955">
        <f>IFERROR(__xludf.DUMMYFUNCTION("""COMPUTED_VALUE"""),0.0)</f>
        <v>0</v>
      </c>
      <c r="R167" s="955">
        <f>IFERROR(__xludf.DUMMYFUNCTION("""COMPUTED_VALUE"""),1.17E9)</f>
        <v>1170000000</v>
      </c>
      <c r="S167" s="955">
        <f>IFERROR(__xludf.DUMMYFUNCTION("""COMPUTED_VALUE"""),0.0)</f>
        <v>0</v>
      </c>
      <c r="T167" s="955">
        <f>IFERROR(__xludf.DUMMYFUNCTION("""COMPUTED_VALUE"""),1.17E9)</f>
        <v>1170000000</v>
      </c>
      <c r="U167" s="955">
        <f>IFERROR(__xludf.DUMMYFUNCTION("""COMPUTED_VALUE"""),0.0)</f>
        <v>0</v>
      </c>
      <c r="V167" s="955">
        <f>IFERROR(__xludf.DUMMYFUNCTION("""COMPUTED_VALUE"""),1.17E9)</f>
        <v>1170000000</v>
      </c>
      <c r="W167" s="955">
        <f>IFERROR(__xludf.DUMMYFUNCTION("""COMPUTED_VALUE"""),0.0)</f>
        <v>0</v>
      </c>
      <c r="X167" s="956"/>
    </row>
    <row r="168">
      <c r="A168" s="822"/>
      <c r="B168" s="825"/>
      <c r="C168" s="974">
        <f>IFERROR(__xludf.DUMMYFUNCTION("""COMPUTED_VALUE"""),45507.0)</f>
        <v>45507</v>
      </c>
      <c r="D168" s="825"/>
      <c r="E168" s="811" t="s">
        <v>947</v>
      </c>
      <c r="F168" s="812">
        <v>17.0</v>
      </c>
      <c r="G168" s="942" t="str">
        <f>IFERROR(__xludf.DUMMYFUNCTION("""COMPUTED_VALUE"""),"Kerjasama")</f>
        <v>Kerjasama</v>
      </c>
      <c r="H168" s="898">
        <f>IFERROR(__xludf.DUMMYFUNCTION("""COMPUTED_VALUE"""),5.0)</f>
        <v>5</v>
      </c>
      <c r="I168" s="899">
        <f>IFERROR(__xludf.DUMMYFUNCTION("""COMPUTED_VALUE"""),0.29411764705882354)</f>
        <v>0.2941176471</v>
      </c>
      <c r="J168" s="943" t="str">
        <f>IFERROR(__xludf.DUMMYFUNCTION("""COMPUTED_VALUE"""),"Kerjasama")</f>
        <v>Kerjasama</v>
      </c>
      <c r="K168" s="944"/>
      <c r="L168" s="894"/>
      <c r="M168" s="951" t="str">
        <f>IFERROR(__xludf.DUMMYFUNCTION("""COMPUTED_VALUE"""),"PNBP")</f>
        <v>PNBP</v>
      </c>
      <c r="N168" s="951" t="str">
        <f>IFERROR(__xludf.DUMMYFUNCTION("""COMPUTED_VALUE"""),"HIBAH")</f>
        <v>HIBAH</v>
      </c>
      <c r="O168" s="951" t="str">
        <f>IFERROR(__xludf.DUMMYFUNCTION("""COMPUTED_VALUE"""),"LISENSI")</f>
        <v>LISENSI</v>
      </c>
      <c r="P168" s="952" t="str">
        <f>IFERROR(__xludf.DUMMYFUNCTION("""COMPUTED_VALUE"""),"DALAM NEGERI")</f>
        <v>DALAM NEGERI</v>
      </c>
      <c r="Q168" s="952" t="str">
        <f>IFERROR(__xludf.DUMMYFUNCTION("""COMPUTED_VALUE"""),"LUAR NEGERI")</f>
        <v>LUAR NEGERI</v>
      </c>
      <c r="R168" s="935"/>
      <c r="S168" s="935"/>
      <c r="T168" s="935"/>
      <c r="U168" s="935"/>
      <c r="V168" s="935"/>
      <c r="W168" s="935"/>
      <c r="X168" s="935"/>
    </row>
    <row r="169">
      <c r="A169" s="822"/>
      <c r="B169" s="825"/>
      <c r="C169" s="974">
        <f>IFERROR(__xludf.DUMMYFUNCTION("""COMPUTED_VALUE"""),45507.0)</f>
        <v>45507</v>
      </c>
      <c r="D169" s="825"/>
      <c r="E169" s="400"/>
      <c r="F169" s="829"/>
      <c r="G169" s="829"/>
      <c r="H169" s="829"/>
      <c r="I169" s="829"/>
      <c r="J169" s="829"/>
      <c r="K169" s="829"/>
      <c r="L169" s="894"/>
      <c r="M169" s="947">
        <f>IFERROR(__xludf.DUMMYFUNCTION("""COMPUTED_VALUE"""),0.0)</f>
        <v>0</v>
      </c>
      <c r="N169" s="947">
        <f>IFERROR(__xludf.DUMMYFUNCTION("""COMPUTED_VALUE"""),0.0)</f>
        <v>0</v>
      </c>
      <c r="O169" s="947">
        <f>IFERROR(__xludf.DUMMYFUNCTION("""COMPUTED_VALUE"""),0.0)</f>
        <v>0</v>
      </c>
      <c r="P169" s="957">
        <f>IFERROR(__xludf.DUMMYFUNCTION("""COMPUTED_VALUE"""),0.0)</f>
        <v>0</v>
      </c>
      <c r="Q169" s="957">
        <f>IFERROR(__xludf.DUMMYFUNCTION("""COMPUTED_VALUE"""),0.0)</f>
        <v>0</v>
      </c>
      <c r="R169" s="958"/>
      <c r="S169" s="958"/>
      <c r="T169" s="935"/>
      <c r="U169" s="959"/>
      <c r="V169" s="959"/>
      <c r="W169" s="959"/>
      <c r="X169" s="959"/>
    </row>
    <row r="170">
      <c r="A170" s="822"/>
      <c r="B170" s="825"/>
      <c r="C170" s="974">
        <f>IFERROR(__xludf.DUMMYFUNCTION("""COMPUTED_VALUE"""),45507.0)</f>
        <v>45507</v>
      </c>
      <c r="D170" s="825"/>
      <c r="E170" s="811" t="s">
        <v>948</v>
      </c>
      <c r="F170" s="812">
        <v>26.0</v>
      </c>
      <c r="G170" s="942" t="str">
        <f>IFERROR(__xludf.DUMMYFUNCTION("""COMPUTED_VALUE"""),"Pegawai")</f>
        <v>Pegawai</v>
      </c>
      <c r="H170" s="911">
        <f>IFERROR(__xludf.DUMMYFUNCTION("""COMPUTED_VALUE"""),1.0)</f>
        <v>1</v>
      </c>
      <c r="I170" s="899">
        <f>IFERROR(__xludf.DUMMYFUNCTION("""COMPUTED_VALUE"""),0.038461538461538464)</f>
        <v>0.03846153846</v>
      </c>
      <c r="J170" s="943" t="str">
        <f>IFERROR(__xludf.DUMMYFUNCTION("""COMPUTED_VALUE"""),"Pegawai")</f>
        <v>Pegawai</v>
      </c>
      <c r="K170" s="944"/>
      <c r="L170" s="894"/>
      <c r="M170" s="951" t="str">
        <f>IFERROR(__xludf.DUMMYFUNCTION("""COMPUTED_VALUE"""),"S2")</f>
        <v>S2</v>
      </c>
      <c r="N170" s="951" t="str">
        <f>IFERROR(__xludf.DUMMYFUNCTION("""COMPUTED_VALUE"""),"S3")</f>
        <v>S3</v>
      </c>
      <c r="O170" s="952" t="str">
        <f>IFERROR(__xludf.DUMMYFUNCTION("""COMPUTED_VALUE"""),"IJIN BELAJAR")</f>
        <v>IJIN BELAJAR</v>
      </c>
      <c r="P170" s="960" t="str">
        <f>IFERROR(__xludf.DUMMYFUNCTION("""COMPUTED_VALUE"""),"TUGAS BELAJAR")</f>
        <v>TUGAS BELAJAR</v>
      </c>
      <c r="Q170" s="959"/>
      <c r="R170" s="959"/>
      <c r="S170" s="959"/>
      <c r="T170" s="959"/>
      <c r="U170" s="959"/>
      <c r="V170" s="959"/>
      <c r="W170" s="959"/>
      <c r="X170" s="959"/>
    </row>
    <row r="171">
      <c r="A171" s="822"/>
      <c r="B171" s="825"/>
      <c r="C171" s="974">
        <f>IFERROR(__xludf.DUMMYFUNCTION("""COMPUTED_VALUE"""),45507.0)</f>
        <v>45507</v>
      </c>
      <c r="D171" s="825"/>
      <c r="E171" s="400"/>
      <c r="F171" s="829"/>
      <c r="G171" s="829"/>
      <c r="H171" s="829"/>
      <c r="I171" s="829"/>
      <c r="J171" s="829"/>
      <c r="K171" s="829"/>
      <c r="L171" s="894"/>
      <c r="M171" s="947">
        <f>IFERROR(__xludf.DUMMYFUNCTION("""COMPUTED_VALUE"""),0.0)</f>
        <v>0</v>
      </c>
      <c r="N171" s="947">
        <f>IFERROR(__xludf.DUMMYFUNCTION("""COMPUTED_VALUE"""),0.0)</f>
        <v>0</v>
      </c>
      <c r="O171" s="947">
        <f>IFERROR(__xludf.DUMMYFUNCTION("""COMPUTED_VALUE"""),0.0)</f>
        <v>0</v>
      </c>
      <c r="P171" s="947">
        <f>IFERROR(__xludf.DUMMYFUNCTION("""COMPUTED_VALUE"""),0.0)</f>
        <v>0</v>
      </c>
      <c r="Q171" s="961"/>
      <c r="R171" s="961"/>
      <c r="S171" s="959"/>
      <c r="T171" s="959"/>
      <c r="U171" s="959"/>
      <c r="V171" s="959"/>
      <c r="W171" s="959"/>
      <c r="X171" s="959"/>
    </row>
    <row r="172">
      <c r="A172" s="822"/>
      <c r="B172" s="825"/>
      <c r="C172" s="974">
        <f>IFERROR(__xludf.DUMMYFUNCTION("""COMPUTED_VALUE"""),45507.0)</f>
        <v>45507</v>
      </c>
      <c r="D172" s="825"/>
      <c r="E172" s="811" t="s">
        <v>949</v>
      </c>
      <c r="F172" s="812">
        <v>5.0</v>
      </c>
      <c r="G172" s="942" t="str">
        <f>IFERROR(__xludf.DUMMYFUNCTION("""COMPUTED_VALUE"""),"Peserta")</f>
        <v>Peserta</v>
      </c>
      <c r="H172" s="911">
        <f>IFERROR(__xludf.DUMMYFUNCTION("""COMPUTED_VALUE"""),3.0)</f>
        <v>3</v>
      </c>
      <c r="I172" s="899">
        <f>IFERROR(__xludf.DUMMYFUNCTION("""COMPUTED_VALUE"""),0.6)</f>
        <v>0.6</v>
      </c>
      <c r="J172" s="943" t="str">
        <f>IFERROR(__xludf.DUMMYFUNCTION("""COMPUTED_VALUE"""),"Peserta")</f>
        <v>Peserta</v>
      </c>
      <c r="K172" s="944"/>
      <c r="L172" s="894"/>
      <c r="M172" s="948" t="str">
        <f>IFERROR(__xludf.DUMMYFUNCTION("""COMPUTED_VALUE"""),"POSTDOCTORAL")</f>
        <v>POSTDOCTORAL</v>
      </c>
      <c r="N172" s="829"/>
      <c r="O172" s="948" t="str">
        <f>IFERROR(__xludf.DUMMYFUNCTION("""COMPUTED_VALUE"""),"VISITING RESEARCH")</f>
        <v>VISITING RESEARCH</v>
      </c>
      <c r="P172" s="829"/>
      <c r="Q172" s="962" t="str">
        <f>IFERROR(__xludf.DUMMYFUNCTION("""COMPUTED_VALUE"""),"PUBLIKASI")</f>
        <v>PUBLIKASI</v>
      </c>
      <c r="R172" s="829"/>
      <c r="S172" s="959"/>
      <c r="T172" s="959"/>
      <c r="U172" s="959"/>
      <c r="V172" s="959"/>
      <c r="W172" s="959"/>
      <c r="X172" s="959"/>
    </row>
    <row r="173">
      <c r="A173" s="822"/>
      <c r="B173" s="825"/>
      <c r="C173" s="974">
        <f>IFERROR(__xludf.DUMMYFUNCTION("""COMPUTED_VALUE"""),45507.0)</f>
        <v>45507</v>
      </c>
      <c r="D173" s="825"/>
      <c r="E173" s="823"/>
      <c r="F173" s="825"/>
      <c r="G173" s="825"/>
      <c r="H173" s="825"/>
      <c r="I173" s="825"/>
      <c r="J173" s="825"/>
      <c r="K173" s="825"/>
      <c r="L173" s="894"/>
      <c r="M173" s="946" t="str">
        <f>IFERROR(__xludf.DUMMYFUNCTION("""COMPUTED_VALUE"""),"Dalam Negeri")</f>
        <v>Dalam Negeri</v>
      </c>
      <c r="N173" s="946" t="str">
        <f>IFERROR(__xludf.DUMMYFUNCTION("""COMPUTED_VALUE"""),"Luar Negeri")</f>
        <v>Luar Negeri</v>
      </c>
      <c r="O173" s="946" t="str">
        <f>IFERROR(__xludf.DUMMYFUNCTION("""COMPUTED_VALUE"""),"Dalam Negeri")</f>
        <v>Dalam Negeri</v>
      </c>
      <c r="P173" s="946" t="str">
        <f>IFERROR(__xludf.DUMMYFUNCTION("""COMPUTED_VALUE"""),"Luar Negeri")</f>
        <v>Luar Negeri</v>
      </c>
      <c r="Q173" s="963" t="str">
        <f>IFERROR(__xludf.DUMMYFUNCTION("""COMPUTED_VALUE"""),"Dalam Negeri")</f>
        <v>Dalam Negeri</v>
      </c>
      <c r="R173" s="963" t="str">
        <f>IFERROR(__xludf.DUMMYFUNCTION("""COMPUTED_VALUE"""),"Luar Negeri")</f>
        <v>Luar Negeri</v>
      </c>
      <c r="S173" s="959"/>
      <c r="T173" s="959"/>
      <c r="U173" s="959"/>
      <c r="V173" s="959"/>
      <c r="W173" s="959"/>
      <c r="X173" s="959"/>
    </row>
    <row r="174">
      <c r="A174" s="822"/>
      <c r="B174" s="825"/>
      <c r="C174" s="974">
        <f>IFERROR(__xludf.DUMMYFUNCTION("""COMPUTED_VALUE"""),45507.0)</f>
        <v>45507</v>
      </c>
      <c r="D174" s="875"/>
      <c r="E174" s="874"/>
      <c r="F174" s="863"/>
      <c r="G174" s="875"/>
      <c r="H174" s="875"/>
      <c r="I174" s="875"/>
      <c r="J174" s="875"/>
      <c r="K174" s="875"/>
      <c r="L174" s="915"/>
      <c r="M174" s="964">
        <f>IFERROR(__xludf.DUMMYFUNCTION("""COMPUTED_VALUE"""),0.0)</f>
        <v>0</v>
      </c>
      <c r="N174" s="964">
        <f>IFERROR(__xludf.DUMMYFUNCTION("""COMPUTED_VALUE"""),0.0)</f>
        <v>0</v>
      </c>
      <c r="O174" s="964">
        <f>IFERROR(__xludf.DUMMYFUNCTION("""COMPUTED_VALUE"""),0.0)</f>
        <v>0</v>
      </c>
      <c r="P174" s="964">
        <f>IFERROR(__xludf.DUMMYFUNCTION("""COMPUTED_VALUE"""),0.0)</f>
        <v>0</v>
      </c>
      <c r="Q174" s="964">
        <f>IFERROR(__xludf.DUMMYFUNCTION("""COMPUTED_VALUE"""),0.0)</f>
        <v>0</v>
      </c>
      <c r="R174" s="964">
        <f>IFERROR(__xludf.DUMMYFUNCTION("""COMPUTED_VALUE"""),0.0)</f>
        <v>0</v>
      </c>
      <c r="S174" s="959"/>
      <c r="T174" s="959"/>
      <c r="U174" s="959"/>
      <c r="V174" s="959"/>
      <c r="W174" s="959"/>
      <c r="X174" s="959"/>
    </row>
    <row r="175">
      <c r="A175" s="822"/>
      <c r="B175" s="825"/>
      <c r="C175" s="974">
        <f>IFERROR(__xludf.DUMMYFUNCTION("""COMPUTED_VALUE"""),45507.0)</f>
        <v>45507</v>
      </c>
      <c r="D175" s="917" t="str">
        <f>IFERROR(__xludf.DUMMYFUNCTION("""COMPUTED_VALUE"""),"Capaian Lainnya")</f>
        <v>Capaian Lainnya</v>
      </c>
      <c r="E175" s="867" t="s">
        <v>950</v>
      </c>
      <c r="F175" s="868"/>
      <c r="G175" s="965" t="str">
        <f>IFERROR(__xludf.DUMMYFUNCTION("""COMPUTED_VALUE"""),"Sitasi")</f>
        <v>Sitasi</v>
      </c>
      <c r="H175" s="919">
        <f>IFERROR(__xludf.DUMMYFUNCTION("""COMPUTED_VALUE"""),813.0)</f>
        <v>813</v>
      </c>
      <c r="I175" s="966"/>
      <c r="J175" s="967" t="str">
        <f>IFERROR(__xludf.DUMMYFUNCTION("""COMPUTED_VALUE"""),"Sitasi")</f>
        <v>Sitasi</v>
      </c>
      <c r="K175" s="968"/>
      <c r="L175" s="969"/>
      <c r="M175" s="951" t="str">
        <f>IFERROR(__xludf.DUMMYFUNCTION("""COMPUTED_VALUE"""),"DOK PUBLISHED")</f>
        <v>DOK PUBLISHED</v>
      </c>
      <c r="N175" s="951" t="str">
        <f>IFERROR(__xludf.DUMMYFUNCTION("""COMPUTED_VALUE"""),"SITASI")</f>
        <v>SITASI</v>
      </c>
      <c r="O175" s="959"/>
      <c r="P175" s="959"/>
      <c r="Q175" s="959"/>
      <c r="R175" s="959"/>
      <c r="S175" s="959"/>
      <c r="T175" s="959"/>
      <c r="U175" s="959"/>
      <c r="V175" s="959"/>
      <c r="W175" s="959"/>
      <c r="X175" s="959"/>
    </row>
    <row r="176">
      <c r="A176" s="822"/>
      <c r="B176" s="825"/>
      <c r="C176" s="974">
        <f>IFERROR(__xludf.DUMMYFUNCTION("""COMPUTED_VALUE"""),45507.0)</f>
        <v>45507</v>
      </c>
      <c r="D176" s="825"/>
      <c r="E176" s="874"/>
      <c r="F176" s="875"/>
      <c r="G176" s="875"/>
      <c r="H176" s="875"/>
      <c r="I176" s="875"/>
      <c r="J176" s="875"/>
      <c r="K176" s="875"/>
      <c r="L176" s="894"/>
      <c r="M176" s="947">
        <f>IFERROR(__xludf.DUMMYFUNCTION("""COMPUTED_VALUE"""),0.0)</f>
        <v>0</v>
      </c>
      <c r="N176" s="947">
        <f>IFERROR(__xludf.DUMMYFUNCTION("""COMPUTED_VALUE"""),0.0)</f>
        <v>0</v>
      </c>
      <c r="O176" s="959"/>
      <c r="P176" s="959"/>
      <c r="Q176" s="959"/>
      <c r="R176" s="959"/>
      <c r="S176" s="959"/>
      <c r="T176" s="959"/>
      <c r="U176" s="959"/>
      <c r="V176" s="959"/>
      <c r="W176" s="959"/>
      <c r="X176" s="959"/>
    </row>
    <row r="177">
      <c r="A177" s="822"/>
      <c r="B177" s="825"/>
      <c r="C177" s="974">
        <f>IFERROR(__xludf.DUMMYFUNCTION("""COMPUTED_VALUE"""),45507.0)</f>
        <v>45507</v>
      </c>
      <c r="D177" s="825"/>
      <c r="E177" s="867" t="s">
        <v>951</v>
      </c>
      <c r="F177" s="868"/>
      <c r="G177" s="970" t="str">
        <f>IFERROR(__xludf.DUMMYFUNCTION("""COMPUTED_VALUE"""),"Publikasi Nasional")</f>
        <v>Publikasi Nasional</v>
      </c>
      <c r="H177" s="925">
        <f>IFERROR(__xludf.DUMMYFUNCTION("""COMPUTED_VALUE"""),2.0)</f>
        <v>2</v>
      </c>
      <c r="I177" s="971"/>
      <c r="J177" s="972" t="str">
        <f>IFERROR(__xludf.DUMMYFUNCTION("""COMPUTED_VALUE"""),"Publikasi Nasional")</f>
        <v>Publikasi Nasional</v>
      </c>
      <c r="K177" s="925"/>
      <c r="L177" s="894"/>
      <c r="M177" s="959"/>
      <c r="N177" s="959"/>
      <c r="O177" s="959"/>
      <c r="P177" s="959"/>
      <c r="Q177" s="959"/>
      <c r="R177" s="959"/>
      <c r="S177" s="959"/>
      <c r="T177" s="959"/>
      <c r="U177" s="959"/>
      <c r="V177" s="959"/>
      <c r="W177" s="959"/>
      <c r="X177" s="959"/>
    </row>
    <row r="178">
      <c r="A178" s="673"/>
      <c r="B178" s="881"/>
      <c r="C178" s="974">
        <f>IFERROR(__xludf.DUMMYFUNCTION("""COMPUTED_VALUE"""),45507.0)</f>
        <v>45507</v>
      </c>
      <c r="D178" s="881"/>
      <c r="E178" s="674"/>
      <c r="F178" s="881"/>
      <c r="G178" s="881"/>
      <c r="H178" s="881"/>
      <c r="I178" s="881"/>
      <c r="J178" s="881"/>
      <c r="K178" s="881"/>
      <c r="L178" s="930"/>
      <c r="M178" s="959"/>
      <c r="N178" s="959"/>
      <c r="O178" s="959"/>
      <c r="P178" s="959"/>
      <c r="Q178" s="959"/>
      <c r="R178" s="959"/>
      <c r="S178" s="959"/>
      <c r="T178" s="959"/>
      <c r="U178" s="959"/>
      <c r="V178" s="959"/>
      <c r="W178" s="959"/>
      <c r="X178" s="959"/>
    </row>
    <row r="179">
      <c r="A179" s="807">
        <f>IFERROR(__xludf.DUMMYFUNCTION("""COMPUTED_VALUE"""),9.0)</f>
        <v>9</v>
      </c>
      <c r="B179" s="883" t="str">
        <f>IFERROR(__xludf.DUMMYFUNCTION("""COMPUTED_VALUE"""),"Triwulan III")</f>
        <v>Triwulan III</v>
      </c>
      <c r="C179" s="884" t="str">
        <f>IFERROR(__xludf.DUMMYFUNCTION("""COMPUTED_VALUE"""),"Triwulan III")</f>
        <v>Triwulan III</v>
      </c>
      <c r="D179" s="931" t="str">
        <f>IFERROR(__xludf.DUMMYFUNCTION("""COMPUTED_VALUE"""),"Terselenggaranya riset dan inovasi di bidang elektronikan dan informatika")</f>
        <v>Terselenggaranya riset dan inovasi di bidang elektronikan dan informatika</v>
      </c>
      <c r="E179" s="811" t="s">
        <v>943</v>
      </c>
      <c r="F179" s="812">
        <v>2.0</v>
      </c>
      <c r="G179" s="932" t="str">
        <f>IFERROR(__xludf.DUMMYFUNCTION("""COMPUTED_VALUE"""),"Purwarupa")</f>
        <v>Purwarupa</v>
      </c>
      <c r="H179" s="887">
        <f>IFERROR(__xludf.DUMMYFUNCTION("""COMPUTED_VALUE"""),0.0)</f>
        <v>0</v>
      </c>
      <c r="I179" s="888">
        <f>IFERROR(__xludf.DUMMYFUNCTION("""COMPUTED_VALUE"""),0.0)</f>
        <v>0</v>
      </c>
      <c r="J179" s="933" t="str">
        <f>IFERROR(__xludf.DUMMYFUNCTION("""COMPUTED_VALUE"""),"Purwarupa")</f>
        <v>Purwarupa</v>
      </c>
      <c r="K179" s="934"/>
      <c r="L179" s="891">
        <f>IFERROR(__xludf.DUMMYFUNCTION("""COMPUTED_VALUE"""),0.24795936416524653)</f>
        <v>0.2479593642</v>
      </c>
      <c r="M179" s="819" t="str">
        <f>IFERROR(__xludf.DUMMYFUNCTION("""COMPUTED_VALUE"""),"HARDWARE PROTOTYPE")</f>
        <v>HARDWARE PROTOTYPE</v>
      </c>
      <c r="N179" s="820"/>
      <c r="O179" s="819" t="str">
        <f>IFERROR(__xludf.DUMMYFUNCTION("""COMPUTED_VALUE"""),"SOFTWARE PROTOTYPE")</f>
        <v>SOFTWARE PROTOTYPE</v>
      </c>
      <c r="P179" s="820"/>
      <c r="Q179" s="819" t="str">
        <f>IFERROR(__xludf.DUMMYFUNCTION("""COMPUTED_VALUE"""),"DESAIN PROTOTYPE")</f>
        <v>DESAIN PROTOTYPE</v>
      </c>
      <c r="R179" s="820"/>
      <c r="S179" s="935"/>
      <c r="T179" s="935"/>
      <c r="U179" s="935"/>
      <c r="V179" s="935"/>
      <c r="W179" s="935"/>
      <c r="X179" s="935"/>
    </row>
    <row r="180">
      <c r="A180" s="822"/>
      <c r="B180" s="825"/>
      <c r="C180" s="893" t="str">
        <f>IFERROR(__xludf.DUMMYFUNCTION("""COMPUTED_VALUE"""),"Triwulan III")</f>
        <v>Triwulan III</v>
      </c>
      <c r="D180" s="825"/>
      <c r="E180" s="823"/>
      <c r="F180" s="825"/>
      <c r="G180" s="825"/>
      <c r="H180" s="825"/>
      <c r="I180" s="825"/>
      <c r="J180" s="825"/>
      <c r="K180" s="825"/>
      <c r="L180" s="894"/>
      <c r="M180" s="827" t="str">
        <f>IFERROR(__xludf.DUMMYFUNCTION("""COMPUTED_VALUE"""),"Selesai")</f>
        <v>Selesai</v>
      </c>
      <c r="N180" s="827" t="str">
        <f>IFERROR(__xludf.DUMMYFUNCTION("""COMPUTED_VALUE"""),"Skala Uji Lab")</f>
        <v>Skala Uji Lab</v>
      </c>
      <c r="O180" s="827" t="str">
        <f>IFERROR(__xludf.DUMMYFUNCTION("""COMPUTED_VALUE"""),"Selesai")</f>
        <v>Selesai</v>
      </c>
      <c r="P180" s="827" t="str">
        <f>IFERROR(__xludf.DUMMYFUNCTION("""COMPUTED_VALUE"""),"Skala Uji Lab")</f>
        <v>Skala Uji Lab</v>
      </c>
      <c r="Q180" s="827" t="str">
        <f>IFERROR(__xludf.DUMMYFUNCTION("""COMPUTED_VALUE"""),"Selesai")</f>
        <v>Selesai</v>
      </c>
      <c r="R180" s="936" t="str">
        <f>IFERROR(__xludf.DUMMYFUNCTION("""COMPUTED_VALUE"""),"Skala Uji Lab")</f>
        <v>Skala Uji Lab</v>
      </c>
      <c r="S180" s="937"/>
      <c r="T180" s="938"/>
      <c r="U180" s="935"/>
      <c r="V180" s="935"/>
      <c r="W180" s="935"/>
      <c r="X180" s="935"/>
    </row>
    <row r="181">
      <c r="A181" s="822"/>
      <c r="B181" s="825"/>
      <c r="C181" s="893" t="str">
        <f>IFERROR(__xludf.DUMMYFUNCTION("""COMPUTED_VALUE"""),"Triwulan III")</f>
        <v>Triwulan III</v>
      </c>
      <c r="D181" s="825"/>
      <c r="E181" s="400"/>
      <c r="F181" s="829"/>
      <c r="G181" s="829"/>
      <c r="H181" s="829"/>
      <c r="I181" s="829"/>
      <c r="J181" s="829"/>
      <c r="K181" s="829"/>
      <c r="L181" s="894"/>
      <c r="M181" s="830">
        <f>IFERROR(__xludf.DUMMYFUNCTION("""COMPUTED_VALUE"""),0.0)</f>
        <v>0</v>
      </c>
      <c r="N181" s="830">
        <f>IFERROR(__xludf.DUMMYFUNCTION("""COMPUTED_VALUE"""),0.0)</f>
        <v>0</v>
      </c>
      <c r="O181" s="830">
        <f>IFERROR(__xludf.DUMMYFUNCTION("""COMPUTED_VALUE"""),0.0)</f>
        <v>0</v>
      </c>
      <c r="P181" s="830">
        <f>IFERROR(__xludf.DUMMYFUNCTION("""COMPUTED_VALUE"""),0.0)</f>
        <v>0</v>
      </c>
      <c r="Q181" s="830">
        <f>IFERROR(__xludf.DUMMYFUNCTION("""COMPUTED_VALUE"""),0.0)</f>
        <v>0</v>
      </c>
      <c r="R181" s="939">
        <f>IFERROR(__xludf.DUMMYFUNCTION("""COMPUTED_VALUE"""),0.0)</f>
        <v>0</v>
      </c>
      <c r="S181" s="940"/>
      <c r="T181" s="941"/>
      <c r="U181" s="935"/>
      <c r="V181" s="935"/>
      <c r="W181" s="935"/>
      <c r="X181" s="935"/>
    </row>
    <row r="182">
      <c r="A182" s="822"/>
      <c r="B182" s="825"/>
      <c r="C182" s="893" t="str">
        <f>IFERROR(__xludf.DUMMYFUNCTION("""COMPUTED_VALUE"""),"Triwulan III")</f>
        <v>Triwulan III</v>
      </c>
      <c r="D182" s="825"/>
      <c r="E182" s="811" t="s">
        <v>944</v>
      </c>
      <c r="F182" s="812">
        <v>80.0</v>
      </c>
      <c r="G182" s="942" t="str">
        <f>IFERROR(__xludf.DUMMYFUNCTION("""COMPUTED_VALUE"""),"Publikasi Internasional")</f>
        <v>Publikasi Internasional</v>
      </c>
      <c r="H182" s="898">
        <f>IFERROR(__xludf.DUMMYFUNCTION("""COMPUTED_VALUE"""),34.0)</f>
        <v>34</v>
      </c>
      <c r="I182" s="899">
        <f>IFERROR(__xludf.DUMMYFUNCTION("""COMPUTED_VALUE"""),0.425)</f>
        <v>0.425</v>
      </c>
      <c r="J182" s="943" t="str">
        <f>IFERROR(__xludf.DUMMYFUNCTION("""COMPUTED_VALUE"""),"Publikasi Internasional")</f>
        <v>Publikasi Internasional</v>
      </c>
      <c r="K182" s="944"/>
      <c r="L182" s="894"/>
      <c r="M182" s="945" t="str">
        <f>IFERROR(__xludf.DUMMYFUNCTION("""COMPUTED_VALUE"""),"JURNAL")</f>
        <v>JURNAL</v>
      </c>
      <c r="N182" s="829"/>
      <c r="O182" s="945" t="str">
        <f>IFERROR(__xludf.DUMMYFUNCTION("""COMPUTED_VALUE"""),"PHROSIDING")</f>
        <v>PHROSIDING</v>
      </c>
      <c r="P182" s="829"/>
      <c r="Q182" s="945" t="str">
        <f>IFERROR(__xludf.DUMMYFUNCTION("""COMPUTED_VALUE"""),"BUKU")</f>
        <v>BUKU</v>
      </c>
      <c r="R182" s="829"/>
      <c r="S182" s="945" t="str">
        <f>IFERROR(__xludf.DUMMYFUNCTION("""COMPUTED_VALUE"""),"BAGIAN BUKU")</f>
        <v>BAGIAN BUKU</v>
      </c>
      <c r="T182" s="829"/>
      <c r="U182" s="935"/>
      <c r="V182" s="935"/>
      <c r="W182" s="935"/>
      <c r="X182" s="935"/>
    </row>
    <row r="183">
      <c r="A183" s="822"/>
      <c r="B183" s="825"/>
      <c r="C183" s="893" t="str">
        <f>IFERROR(__xludf.DUMMYFUNCTION("""COMPUTED_VALUE"""),"Triwulan III")</f>
        <v>Triwulan III</v>
      </c>
      <c r="D183" s="825"/>
      <c r="E183" s="823"/>
      <c r="F183" s="825"/>
      <c r="G183" s="825"/>
      <c r="H183" s="825"/>
      <c r="I183" s="825"/>
      <c r="J183" s="825"/>
      <c r="K183" s="825"/>
      <c r="L183" s="894"/>
      <c r="M183" s="946" t="str">
        <f>IFERROR(__xludf.DUMMYFUNCTION("""COMPUTED_VALUE"""),"Published")</f>
        <v>Published</v>
      </c>
      <c r="N183" s="946" t="str">
        <f>IFERROR(__xludf.DUMMYFUNCTION("""COMPUTED_VALUE"""),"Accepted")</f>
        <v>Accepted</v>
      </c>
      <c r="O183" s="946" t="str">
        <f>IFERROR(__xludf.DUMMYFUNCTION("""COMPUTED_VALUE"""),"Published")</f>
        <v>Published</v>
      </c>
      <c r="P183" s="946" t="str">
        <f>IFERROR(__xludf.DUMMYFUNCTION("""COMPUTED_VALUE"""),"Accepted")</f>
        <v>Accepted</v>
      </c>
      <c r="Q183" s="946" t="str">
        <f>IFERROR(__xludf.DUMMYFUNCTION("""COMPUTED_VALUE"""),"Published")</f>
        <v>Published</v>
      </c>
      <c r="R183" s="946" t="str">
        <f>IFERROR(__xludf.DUMMYFUNCTION("""COMPUTED_VALUE"""),"Accepted")</f>
        <v>Accepted</v>
      </c>
      <c r="S183" s="946" t="str">
        <f>IFERROR(__xludf.DUMMYFUNCTION("""COMPUTED_VALUE"""),"Published")</f>
        <v>Published</v>
      </c>
      <c r="T183" s="946" t="str">
        <f>IFERROR(__xludf.DUMMYFUNCTION("""COMPUTED_VALUE"""),"Accepted")</f>
        <v>Accepted</v>
      </c>
      <c r="U183" s="935"/>
      <c r="V183" s="935"/>
      <c r="W183" s="935"/>
      <c r="X183" s="935"/>
    </row>
    <row r="184">
      <c r="A184" s="822"/>
      <c r="B184" s="825"/>
      <c r="C184" s="893" t="str">
        <f>IFERROR(__xludf.DUMMYFUNCTION("""COMPUTED_VALUE"""),"Triwulan III")</f>
        <v>Triwulan III</v>
      </c>
      <c r="D184" s="825"/>
      <c r="E184" s="400"/>
      <c r="F184" s="829"/>
      <c r="G184" s="829"/>
      <c r="H184" s="829"/>
      <c r="I184" s="829"/>
      <c r="J184" s="829"/>
      <c r="K184" s="829"/>
      <c r="L184" s="894"/>
      <c r="M184" s="830">
        <f>IFERROR(__xludf.DUMMYFUNCTION("""COMPUTED_VALUE"""),55.0)</f>
        <v>55</v>
      </c>
      <c r="N184" s="947">
        <f>IFERROR(__xludf.DUMMYFUNCTION("""COMPUTED_VALUE"""),0.0)</f>
        <v>0</v>
      </c>
      <c r="O184" s="947">
        <f>IFERROR(__xludf.DUMMYFUNCTION("""COMPUTED_VALUE"""),8.0)</f>
        <v>8</v>
      </c>
      <c r="P184" s="947">
        <f>IFERROR(__xludf.DUMMYFUNCTION("""COMPUTED_VALUE"""),0.0)</f>
        <v>0</v>
      </c>
      <c r="Q184" s="947">
        <f>IFERROR(__xludf.DUMMYFUNCTION("""COMPUTED_VALUE"""),0.0)</f>
        <v>0</v>
      </c>
      <c r="R184" s="947">
        <f>IFERROR(__xludf.DUMMYFUNCTION("""COMPUTED_VALUE"""),0.0)</f>
        <v>0</v>
      </c>
      <c r="S184" s="947">
        <f>IFERROR(__xludf.DUMMYFUNCTION("""COMPUTED_VALUE"""),0.0)</f>
        <v>0</v>
      </c>
      <c r="T184" s="947">
        <f>IFERROR(__xludf.DUMMYFUNCTION("""COMPUTED_VALUE"""),0.0)</f>
        <v>0</v>
      </c>
      <c r="U184" s="935"/>
      <c r="V184" s="935"/>
      <c r="W184" s="935"/>
      <c r="X184" s="935"/>
    </row>
    <row r="185">
      <c r="A185" s="822"/>
      <c r="B185" s="825"/>
      <c r="C185" s="893" t="str">
        <f>IFERROR(__xludf.DUMMYFUNCTION("""COMPUTED_VALUE"""),"Triwulan III")</f>
        <v>Triwulan III</v>
      </c>
      <c r="D185" s="825"/>
      <c r="E185" s="811" t="s">
        <v>945</v>
      </c>
      <c r="F185" s="812">
        <v>24.0</v>
      </c>
      <c r="G185" s="942" t="str">
        <f>IFERROR(__xludf.DUMMYFUNCTION("""COMPUTED_VALUE"""),"Kekayaan Intelektual")</f>
        <v>Kekayaan Intelektual</v>
      </c>
      <c r="H185" s="898">
        <f>IFERROR(__xludf.DUMMYFUNCTION("""COMPUTED_VALUE"""),3.0)</f>
        <v>3</v>
      </c>
      <c r="I185" s="899">
        <f>IFERROR(__xludf.DUMMYFUNCTION("""COMPUTED_VALUE"""),0.125)</f>
        <v>0.125</v>
      </c>
      <c r="J185" s="943" t="str">
        <f>IFERROR(__xludf.DUMMYFUNCTION("""COMPUTED_VALUE"""),"Kekayaan Intelektual")</f>
        <v>Kekayaan Intelektual</v>
      </c>
      <c r="K185" s="944"/>
      <c r="L185" s="894"/>
      <c r="M185" s="948" t="str">
        <f>IFERROR(__xludf.DUMMYFUNCTION("""COMPUTED_VALUE"""),"PATEN")</f>
        <v>PATEN</v>
      </c>
      <c r="N185" s="829"/>
      <c r="O185" s="948" t="str">
        <f>IFERROR(__xludf.DUMMYFUNCTION("""COMPUTED_VALUE"""),"HAK CIPTA")</f>
        <v>HAK CIPTA</v>
      </c>
      <c r="P185" s="829"/>
      <c r="Q185" s="948" t="str">
        <f>IFERROR(__xludf.DUMMYFUNCTION("""COMPUTED_VALUE"""),"DESAIN INDUSTRI")</f>
        <v>DESAIN INDUSTRI</v>
      </c>
      <c r="R185" s="829"/>
      <c r="S185" s="206"/>
      <c r="U185" s="935"/>
      <c r="V185" s="935"/>
      <c r="W185" s="935"/>
      <c r="X185" s="935"/>
    </row>
    <row r="186">
      <c r="A186" s="822"/>
      <c r="B186" s="825"/>
      <c r="C186" s="893" t="str">
        <f>IFERROR(__xludf.DUMMYFUNCTION("""COMPUTED_VALUE"""),"Triwulan III")</f>
        <v>Triwulan III</v>
      </c>
      <c r="D186" s="825"/>
      <c r="E186" s="823"/>
      <c r="F186" s="825"/>
      <c r="G186" s="825"/>
      <c r="H186" s="825"/>
      <c r="I186" s="825"/>
      <c r="J186" s="825"/>
      <c r="K186" s="825"/>
      <c r="L186" s="894"/>
      <c r="M186" s="949" t="str">
        <f>IFERROR(__xludf.DUMMYFUNCTION("""COMPUTED_VALUE"""),"Terdaftar DJKI")</f>
        <v>Terdaftar DJKI</v>
      </c>
      <c r="N186" s="949" t="str">
        <f>IFERROR(__xludf.DUMMYFUNCTION("""COMPUTED_VALUE"""),"Tersertifikasi")</f>
        <v>Tersertifikasi</v>
      </c>
      <c r="O186" s="949" t="str">
        <f>IFERROR(__xludf.DUMMYFUNCTION("""COMPUTED_VALUE"""),"Terdaftar DJKI")</f>
        <v>Terdaftar DJKI</v>
      </c>
      <c r="P186" s="949" t="str">
        <f>IFERROR(__xludf.DUMMYFUNCTION("""COMPUTED_VALUE"""),"Tersertifikasi")</f>
        <v>Tersertifikasi</v>
      </c>
      <c r="Q186" s="949" t="str">
        <f>IFERROR(__xludf.DUMMYFUNCTION("""COMPUTED_VALUE"""),"Terdaftar DJKI")</f>
        <v>Terdaftar DJKI</v>
      </c>
      <c r="R186" s="949" t="str">
        <f>IFERROR(__xludf.DUMMYFUNCTION("""COMPUTED_VALUE"""),"Tersertifikasi")</f>
        <v>Tersertifikasi</v>
      </c>
      <c r="S186" s="935"/>
      <c r="T186" s="935"/>
      <c r="U186" s="935"/>
      <c r="V186" s="935"/>
      <c r="W186" s="935"/>
      <c r="X186" s="935"/>
    </row>
    <row r="187">
      <c r="A187" s="822"/>
      <c r="B187" s="825"/>
      <c r="C187" s="893" t="str">
        <f>IFERROR(__xludf.DUMMYFUNCTION("""COMPUTED_VALUE"""),"Triwulan III")</f>
        <v>Triwulan III</v>
      </c>
      <c r="D187" s="825"/>
      <c r="E187" s="400"/>
      <c r="F187" s="829"/>
      <c r="G187" s="829"/>
      <c r="H187" s="829"/>
      <c r="I187" s="829"/>
      <c r="J187" s="829"/>
      <c r="K187" s="829"/>
      <c r="L187" s="894"/>
      <c r="M187" s="947">
        <f>IFERROR(__xludf.DUMMYFUNCTION("""COMPUTED_VALUE"""),0.0)</f>
        <v>0</v>
      </c>
      <c r="N187" s="947">
        <f>IFERROR(__xludf.DUMMYFUNCTION("""COMPUTED_VALUE"""),0.0)</f>
        <v>0</v>
      </c>
      <c r="O187" s="947">
        <f>IFERROR(__xludf.DUMMYFUNCTION("""COMPUTED_VALUE"""),0.0)</f>
        <v>0</v>
      </c>
      <c r="P187" s="947">
        <f>IFERROR(__xludf.DUMMYFUNCTION("""COMPUTED_VALUE"""),0.0)</f>
        <v>0</v>
      </c>
      <c r="Q187" s="947">
        <f>IFERROR(__xludf.DUMMYFUNCTION("""COMPUTED_VALUE"""),0.0)</f>
        <v>0</v>
      </c>
      <c r="R187" s="947">
        <f>IFERROR(__xludf.DUMMYFUNCTION("""COMPUTED_VALUE"""),0.0)</f>
        <v>0</v>
      </c>
      <c r="S187" s="950"/>
      <c r="T187" s="950"/>
      <c r="U187" s="950"/>
      <c r="V187" s="950"/>
      <c r="W187" s="950"/>
      <c r="X187" s="935"/>
    </row>
    <row r="188">
      <c r="A188" s="822"/>
      <c r="B188" s="825"/>
      <c r="C188" s="893" t="str">
        <f>IFERROR(__xludf.DUMMYFUNCTION("""COMPUTED_VALUE"""),"Triwulan III")</f>
        <v>Triwulan III</v>
      </c>
      <c r="D188" s="825"/>
      <c r="E188" s="811" t="s">
        <v>946</v>
      </c>
      <c r="F188" s="847">
        <v>2.2E9</v>
      </c>
      <c r="G188" s="942" t="str">
        <f>IFERROR(__xludf.DUMMYFUNCTION("""COMPUTED_VALUE"""),"Rupiah")</f>
        <v>Rupiah</v>
      </c>
      <c r="H188" s="905">
        <f>IFERROR(__xludf.DUMMYFUNCTION("""COMPUTED_VALUE"""),5.569E8)</f>
        <v>556900000</v>
      </c>
      <c r="I188" s="899">
        <f>IFERROR(__xludf.DUMMYFUNCTION("""COMPUTED_VALUE"""),0.25313636363636366)</f>
        <v>0.2531363636</v>
      </c>
      <c r="J188" s="943" t="str">
        <f>IFERROR(__xludf.DUMMYFUNCTION("""COMPUTED_VALUE"""),"Rupiah")</f>
        <v>Rupiah</v>
      </c>
      <c r="K188" s="944"/>
      <c r="L188" s="894"/>
      <c r="M188" s="951" t="str">
        <f>IFERROR(__xludf.DUMMYFUNCTION("""COMPUTED_VALUE"""),"PNBP")</f>
        <v>PNBP</v>
      </c>
      <c r="N188" s="951" t="str">
        <f>IFERROR(__xludf.DUMMYFUNCTION("""COMPUTED_VALUE"""),"HIBAH")</f>
        <v>HIBAH</v>
      </c>
      <c r="O188" s="951" t="str">
        <f>IFERROR(__xludf.DUMMYFUNCTION("""COMPUTED_VALUE"""),"MITRA/UNV")</f>
        <v>MITRA/UNV</v>
      </c>
      <c r="P188" s="951" t="str">
        <f>IFERROR(__xludf.DUMMYFUNCTION("""COMPUTED_VALUE"""),"POSTDOC")</f>
        <v>POSTDOC</v>
      </c>
      <c r="Q188" s="951" t="str">
        <f>IFERROR(__xludf.DUMMYFUNCTION("""COMPUTED_VALUE"""),"VISITING RSRCH")</f>
        <v>VISITING RSRCH</v>
      </c>
      <c r="R188" s="951" t="str">
        <f>IFERROR(__xludf.DUMMYFUNCTION("""COMPUTED_VALUE"""),"RIMM")</f>
        <v>RIMM</v>
      </c>
      <c r="S188" s="951" t="str">
        <f>IFERROR(__xludf.DUMMYFUNCTION("""COMPUTED_VALUE"""),"LISENSI")</f>
        <v>LISENSI</v>
      </c>
      <c r="T188" s="952" t="str">
        <f>IFERROR(__xludf.DUMMYFUNCTION("""COMPUTED_VALUE"""),"DALAM NEGERI")</f>
        <v>DALAM NEGERI</v>
      </c>
      <c r="U188" s="952" t="str">
        <f>IFERROR(__xludf.DUMMYFUNCTION("""COMPUTED_VALUE"""),"LUAR NEGERI")</f>
        <v>LUAR NEGERI</v>
      </c>
      <c r="V188" s="953" t="str">
        <f>IFERROR(__xludf.DUMMYFUNCTION("""COMPUTED_VALUE"""),"IN CASH")</f>
        <v>IN CASH</v>
      </c>
      <c r="W188" s="953" t="str">
        <f>IFERROR(__xludf.DUMMYFUNCTION("""COMPUTED_VALUE"""),"IN KIND")</f>
        <v>IN KIND</v>
      </c>
      <c r="X188" s="954"/>
    </row>
    <row r="189">
      <c r="A189" s="822"/>
      <c r="B189" s="825"/>
      <c r="C189" s="893" t="str">
        <f>IFERROR(__xludf.DUMMYFUNCTION("""COMPUTED_VALUE"""),"Triwulan III")</f>
        <v>Triwulan III</v>
      </c>
      <c r="D189" s="825"/>
      <c r="E189" s="400"/>
      <c r="F189" s="829"/>
      <c r="G189" s="829"/>
      <c r="H189" s="829"/>
      <c r="I189" s="829"/>
      <c r="J189" s="829"/>
      <c r="K189" s="829"/>
      <c r="L189" s="894"/>
      <c r="M189" s="955">
        <f>IFERROR(__xludf.DUMMYFUNCTION("""COMPUTED_VALUE"""),0.0)</f>
        <v>0</v>
      </c>
      <c r="N189" s="955">
        <f>IFERROR(__xludf.DUMMYFUNCTION("""COMPUTED_VALUE"""),0.0)</f>
        <v>0</v>
      </c>
      <c r="O189" s="955">
        <f>IFERROR(__xludf.DUMMYFUNCTION("""COMPUTED_VALUE"""),0.0)</f>
        <v>0</v>
      </c>
      <c r="P189" s="955">
        <f>IFERROR(__xludf.DUMMYFUNCTION("""COMPUTED_VALUE"""),0.0)</f>
        <v>0</v>
      </c>
      <c r="Q189" s="955">
        <f>IFERROR(__xludf.DUMMYFUNCTION("""COMPUTED_VALUE"""),0.0)</f>
        <v>0</v>
      </c>
      <c r="R189" s="955">
        <f>IFERROR(__xludf.DUMMYFUNCTION("""COMPUTED_VALUE"""),1.404E9)</f>
        <v>1404000000</v>
      </c>
      <c r="S189" s="955">
        <f>IFERROR(__xludf.DUMMYFUNCTION("""COMPUTED_VALUE"""),0.0)</f>
        <v>0</v>
      </c>
      <c r="T189" s="955">
        <f>IFERROR(__xludf.DUMMYFUNCTION("""COMPUTED_VALUE"""),1.404E9)</f>
        <v>1404000000</v>
      </c>
      <c r="U189" s="955">
        <f>IFERROR(__xludf.DUMMYFUNCTION("""COMPUTED_VALUE"""),0.0)</f>
        <v>0</v>
      </c>
      <c r="V189" s="955">
        <f>IFERROR(__xludf.DUMMYFUNCTION("""COMPUTED_VALUE"""),1.404E9)</f>
        <v>1404000000</v>
      </c>
      <c r="W189" s="955">
        <f>IFERROR(__xludf.DUMMYFUNCTION("""COMPUTED_VALUE"""),0.0)</f>
        <v>0</v>
      </c>
      <c r="X189" s="956"/>
    </row>
    <row r="190">
      <c r="A190" s="822"/>
      <c r="B190" s="825"/>
      <c r="C190" s="893" t="str">
        <f>IFERROR(__xludf.DUMMYFUNCTION("""COMPUTED_VALUE"""),"Triwulan III")</f>
        <v>Triwulan III</v>
      </c>
      <c r="D190" s="825"/>
      <c r="E190" s="811" t="s">
        <v>947</v>
      </c>
      <c r="F190" s="812">
        <v>17.0</v>
      </c>
      <c r="G190" s="942" t="str">
        <f>IFERROR(__xludf.DUMMYFUNCTION("""COMPUTED_VALUE"""),"Kerjasama")</f>
        <v>Kerjasama</v>
      </c>
      <c r="H190" s="898">
        <f>IFERROR(__xludf.DUMMYFUNCTION("""COMPUTED_VALUE"""),5.0)</f>
        <v>5</v>
      </c>
      <c r="I190" s="899">
        <f>IFERROR(__xludf.DUMMYFUNCTION("""COMPUTED_VALUE"""),0.29411764705882354)</f>
        <v>0.2941176471</v>
      </c>
      <c r="J190" s="943" t="str">
        <f>IFERROR(__xludf.DUMMYFUNCTION("""COMPUTED_VALUE"""),"Kerjasama")</f>
        <v>Kerjasama</v>
      </c>
      <c r="K190" s="944"/>
      <c r="L190" s="894"/>
      <c r="M190" s="951" t="str">
        <f>IFERROR(__xludf.DUMMYFUNCTION("""COMPUTED_VALUE"""),"PNBP")</f>
        <v>PNBP</v>
      </c>
      <c r="N190" s="951" t="str">
        <f>IFERROR(__xludf.DUMMYFUNCTION("""COMPUTED_VALUE"""),"HIBAH")</f>
        <v>HIBAH</v>
      </c>
      <c r="O190" s="951" t="str">
        <f>IFERROR(__xludf.DUMMYFUNCTION("""COMPUTED_VALUE"""),"LISENSI")</f>
        <v>LISENSI</v>
      </c>
      <c r="P190" s="952" t="str">
        <f>IFERROR(__xludf.DUMMYFUNCTION("""COMPUTED_VALUE"""),"DALAM NEGERI")</f>
        <v>DALAM NEGERI</v>
      </c>
      <c r="Q190" s="952" t="str">
        <f>IFERROR(__xludf.DUMMYFUNCTION("""COMPUTED_VALUE"""),"LUAR NEGERI")</f>
        <v>LUAR NEGERI</v>
      </c>
      <c r="R190" s="935"/>
      <c r="S190" s="935"/>
      <c r="T190" s="935"/>
      <c r="U190" s="935"/>
      <c r="V190" s="935"/>
      <c r="W190" s="935"/>
      <c r="X190" s="935"/>
    </row>
    <row r="191">
      <c r="A191" s="822"/>
      <c r="B191" s="825"/>
      <c r="C191" s="893" t="str">
        <f>IFERROR(__xludf.DUMMYFUNCTION("""COMPUTED_VALUE"""),"Triwulan III")</f>
        <v>Triwulan III</v>
      </c>
      <c r="D191" s="825"/>
      <c r="E191" s="400"/>
      <c r="F191" s="829"/>
      <c r="G191" s="829"/>
      <c r="H191" s="829"/>
      <c r="I191" s="829"/>
      <c r="J191" s="829"/>
      <c r="K191" s="829"/>
      <c r="L191" s="894"/>
      <c r="M191" s="947">
        <f>IFERROR(__xludf.DUMMYFUNCTION("""COMPUTED_VALUE"""),0.0)</f>
        <v>0</v>
      </c>
      <c r="N191" s="947">
        <f>IFERROR(__xludf.DUMMYFUNCTION("""COMPUTED_VALUE"""),0.0)</f>
        <v>0</v>
      </c>
      <c r="O191" s="947">
        <f>IFERROR(__xludf.DUMMYFUNCTION("""COMPUTED_VALUE"""),0.0)</f>
        <v>0</v>
      </c>
      <c r="P191" s="957">
        <f>IFERROR(__xludf.DUMMYFUNCTION("""COMPUTED_VALUE"""),0.0)</f>
        <v>0</v>
      </c>
      <c r="Q191" s="957">
        <f>IFERROR(__xludf.DUMMYFUNCTION("""COMPUTED_VALUE"""),0.0)</f>
        <v>0</v>
      </c>
      <c r="R191" s="958"/>
      <c r="S191" s="958"/>
      <c r="T191" s="935"/>
      <c r="U191" s="959"/>
      <c r="V191" s="959"/>
      <c r="W191" s="959"/>
      <c r="X191" s="959"/>
    </row>
    <row r="192">
      <c r="A192" s="822"/>
      <c r="B192" s="825"/>
      <c r="C192" s="893" t="str">
        <f>IFERROR(__xludf.DUMMYFUNCTION("""COMPUTED_VALUE"""),"Triwulan III")</f>
        <v>Triwulan III</v>
      </c>
      <c r="D192" s="825"/>
      <c r="E192" s="811" t="s">
        <v>948</v>
      </c>
      <c r="F192" s="812">
        <v>26.0</v>
      </c>
      <c r="G192" s="942" t="str">
        <f>IFERROR(__xludf.DUMMYFUNCTION("""COMPUTED_VALUE"""),"Pegawai")</f>
        <v>Pegawai</v>
      </c>
      <c r="H192" s="911">
        <f>IFERROR(__xludf.DUMMYFUNCTION("""COMPUTED_VALUE"""),1.0)</f>
        <v>1</v>
      </c>
      <c r="I192" s="899">
        <f>IFERROR(__xludf.DUMMYFUNCTION("""COMPUTED_VALUE"""),0.038461538461538464)</f>
        <v>0.03846153846</v>
      </c>
      <c r="J192" s="943" t="str">
        <f>IFERROR(__xludf.DUMMYFUNCTION("""COMPUTED_VALUE"""),"Pegawai")</f>
        <v>Pegawai</v>
      </c>
      <c r="K192" s="944"/>
      <c r="L192" s="894"/>
      <c r="M192" s="951" t="str">
        <f>IFERROR(__xludf.DUMMYFUNCTION("""COMPUTED_VALUE"""),"S2")</f>
        <v>S2</v>
      </c>
      <c r="N192" s="951" t="str">
        <f>IFERROR(__xludf.DUMMYFUNCTION("""COMPUTED_VALUE"""),"S3")</f>
        <v>S3</v>
      </c>
      <c r="O192" s="952" t="str">
        <f>IFERROR(__xludf.DUMMYFUNCTION("""COMPUTED_VALUE"""),"IJIN BELAJAR")</f>
        <v>IJIN BELAJAR</v>
      </c>
      <c r="P192" s="960" t="str">
        <f>IFERROR(__xludf.DUMMYFUNCTION("""COMPUTED_VALUE"""),"TUGAS BELAJAR")</f>
        <v>TUGAS BELAJAR</v>
      </c>
      <c r="Q192" s="959"/>
      <c r="R192" s="959"/>
      <c r="S192" s="959"/>
      <c r="T192" s="959"/>
      <c r="U192" s="959"/>
      <c r="V192" s="959"/>
      <c r="W192" s="959"/>
      <c r="X192" s="959"/>
    </row>
    <row r="193">
      <c r="A193" s="822"/>
      <c r="B193" s="825"/>
      <c r="C193" s="893" t="str">
        <f>IFERROR(__xludf.DUMMYFUNCTION("""COMPUTED_VALUE"""),"Triwulan III")</f>
        <v>Triwulan III</v>
      </c>
      <c r="D193" s="825"/>
      <c r="E193" s="400"/>
      <c r="F193" s="829"/>
      <c r="G193" s="829"/>
      <c r="H193" s="829"/>
      <c r="I193" s="829"/>
      <c r="J193" s="829"/>
      <c r="K193" s="829"/>
      <c r="L193" s="894"/>
      <c r="M193" s="947">
        <f>IFERROR(__xludf.DUMMYFUNCTION("""COMPUTED_VALUE"""),0.0)</f>
        <v>0</v>
      </c>
      <c r="N193" s="947">
        <f>IFERROR(__xludf.DUMMYFUNCTION("""COMPUTED_VALUE"""),0.0)</f>
        <v>0</v>
      </c>
      <c r="O193" s="947">
        <f>IFERROR(__xludf.DUMMYFUNCTION("""COMPUTED_VALUE"""),0.0)</f>
        <v>0</v>
      </c>
      <c r="P193" s="947">
        <f>IFERROR(__xludf.DUMMYFUNCTION("""COMPUTED_VALUE"""),0.0)</f>
        <v>0</v>
      </c>
      <c r="Q193" s="961"/>
      <c r="R193" s="961"/>
      <c r="S193" s="959"/>
      <c r="T193" s="959"/>
      <c r="U193" s="959"/>
      <c r="V193" s="959"/>
      <c r="W193" s="959"/>
      <c r="X193" s="959"/>
    </row>
    <row r="194">
      <c r="A194" s="822"/>
      <c r="B194" s="825"/>
      <c r="C194" s="893" t="str">
        <f>IFERROR(__xludf.DUMMYFUNCTION("""COMPUTED_VALUE"""),"Triwulan III")</f>
        <v>Triwulan III</v>
      </c>
      <c r="D194" s="825"/>
      <c r="E194" s="811" t="s">
        <v>949</v>
      </c>
      <c r="F194" s="812">
        <v>5.0</v>
      </c>
      <c r="G194" s="942" t="str">
        <f>IFERROR(__xludf.DUMMYFUNCTION("""COMPUTED_VALUE"""),"Peserta")</f>
        <v>Peserta</v>
      </c>
      <c r="H194" s="911">
        <f>IFERROR(__xludf.DUMMYFUNCTION("""COMPUTED_VALUE"""),3.0)</f>
        <v>3</v>
      </c>
      <c r="I194" s="899">
        <f>IFERROR(__xludf.DUMMYFUNCTION("""COMPUTED_VALUE"""),0.6)</f>
        <v>0.6</v>
      </c>
      <c r="J194" s="943" t="str">
        <f>IFERROR(__xludf.DUMMYFUNCTION("""COMPUTED_VALUE"""),"Peserta")</f>
        <v>Peserta</v>
      </c>
      <c r="K194" s="944"/>
      <c r="L194" s="894"/>
      <c r="M194" s="948" t="str">
        <f>IFERROR(__xludf.DUMMYFUNCTION("""COMPUTED_VALUE"""),"POSTDOCTORAL")</f>
        <v>POSTDOCTORAL</v>
      </c>
      <c r="N194" s="829"/>
      <c r="O194" s="948" t="str">
        <f>IFERROR(__xludf.DUMMYFUNCTION("""COMPUTED_VALUE"""),"VISITING RESEARCH")</f>
        <v>VISITING RESEARCH</v>
      </c>
      <c r="P194" s="829"/>
      <c r="Q194" s="962" t="str">
        <f>IFERROR(__xludf.DUMMYFUNCTION("""COMPUTED_VALUE"""),"PUBLIKASI")</f>
        <v>PUBLIKASI</v>
      </c>
      <c r="R194" s="829"/>
      <c r="S194" s="959"/>
      <c r="T194" s="959"/>
      <c r="U194" s="959"/>
      <c r="V194" s="959"/>
      <c r="W194" s="959"/>
      <c r="X194" s="959"/>
    </row>
    <row r="195">
      <c r="A195" s="822"/>
      <c r="B195" s="825"/>
      <c r="C195" s="893" t="str">
        <f>IFERROR(__xludf.DUMMYFUNCTION("""COMPUTED_VALUE"""),"Triwulan III")</f>
        <v>Triwulan III</v>
      </c>
      <c r="D195" s="825"/>
      <c r="E195" s="823"/>
      <c r="F195" s="825"/>
      <c r="G195" s="825"/>
      <c r="H195" s="825"/>
      <c r="I195" s="825"/>
      <c r="J195" s="825"/>
      <c r="K195" s="825"/>
      <c r="L195" s="894"/>
      <c r="M195" s="946" t="str">
        <f>IFERROR(__xludf.DUMMYFUNCTION("""COMPUTED_VALUE"""),"Dalam Negeri")</f>
        <v>Dalam Negeri</v>
      </c>
      <c r="N195" s="946" t="str">
        <f>IFERROR(__xludf.DUMMYFUNCTION("""COMPUTED_VALUE"""),"Luar Negeri")</f>
        <v>Luar Negeri</v>
      </c>
      <c r="O195" s="946" t="str">
        <f>IFERROR(__xludf.DUMMYFUNCTION("""COMPUTED_VALUE"""),"Dalam Negeri")</f>
        <v>Dalam Negeri</v>
      </c>
      <c r="P195" s="946" t="str">
        <f>IFERROR(__xludf.DUMMYFUNCTION("""COMPUTED_VALUE"""),"Luar Negeri")</f>
        <v>Luar Negeri</v>
      </c>
      <c r="Q195" s="963" t="str">
        <f>IFERROR(__xludf.DUMMYFUNCTION("""COMPUTED_VALUE"""),"Dalam Negeri")</f>
        <v>Dalam Negeri</v>
      </c>
      <c r="R195" s="963" t="str">
        <f>IFERROR(__xludf.DUMMYFUNCTION("""COMPUTED_VALUE"""),"Luar Negeri")</f>
        <v>Luar Negeri</v>
      </c>
      <c r="S195" s="959"/>
      <c r="T195" s="959"/>
      <c r="U195" s="959"/>
      <c r="V195" s="959"/>
      <c r="W195" s="959"/>
      <c r="X195" s="959"/>
    </row>
    <row r="196">
      <c r="A196" s="822"/>
      <c r="B196" s="825"/>
      <c r="C196" s="893" t="str">
        <f>IFERROR(__xludf.DUMMYFUNCTION("""COMPUTED_VALUE"""),"Triwulan III")</f>
        <v>Triwulan III</v>
      </c>
      <c r="D196" s="875"/>
      <c r="E196" s="874"/>
      <c r="F196" s="863"/>
      <c r="G196" s="875"/>
      <c r="H196" s="875"/>
      <c r="I196" s="875"/>
      <c r="J196" s="875"/>
      <c r="K196" s="875"/>
      <c r="L196" s="915"/>
      <c r="M196" s="964">
        <f>IFERROR(__xludf.DUMMYFUNCTION("""COMPUTED_VALUE"""),0.0)</f>
        <v>0</v>
      </c>
      <c r="N196" s="964">
        <f>IFERROR(__xludf.DUMMYFUNCTION("""COMPUTED_VALUE"""),0.0)</f>
        <v>0</v>
      </c>
      <c r="O196" s="964">
        <f>IFERROR(__xludf.DUMMYFUNCTION("""COMPUTED_VALUE"""),0.0)</f>
        <v>0</v>
      </c>
      <c r="P196" s="964">
        <f>IFERROR(__xludf.DUMMYFUNCTION("""COMPUTED_VALUE"""),0.0)</f>
        <v>0</v>
      </c>
      <c r="Q196" s="964">
        <f>IFERROR(__xludf.DUMMYFUNCTION("""COMPUTED_VALUE"""),0.0)</f>
        <v>0</v>
      </c>
      <c r="R196" s="964">
        <f>IFERROR(__xludf.DUMMYFUNCTION("""COMPUTED_VALUE"""),0.0)</f>
        <v>0</v>
      </c>
      <c r="S196" s="959"/>
      <c r="T196" s="959"/>
      <c r="U196" s="959"/>
      <c r="V196" s="959"/>
      <c r="W196" s="959"/>
      <c r="X196" s="959"/>
    </row>
    <row r="197">
      <c r="A197" s="822"/>
      <c r="B197" s="825"/>
      <c r="C197" s="893" t="str">
        <f>IFERROR(__xludf.DUMMYFUNCTION("""COMPUTED_VALUE"""),"Triwulan III")</f>
        <v>Triwulan III</v>
      </c>
      <c r="D197" s="917" t="str">
        <f>IFERROR(__xludf.DUMMYFUNCTION("""COMPUTED_VALUE"""),"Capaian Lainnya")</f>
        <v>Capaian Lainnya</v>
      </c>
      <c r="E197" s="867" t="s">
        <v>950</v>
      </c>
      <c r="F197" s="868"/>
      <c r="G197" s="965" t="str">
        <f>IFERROR(__xludf.DUMMYFUNCTION("""COMPUTED_VALUE"""),"Sitasi")</f>
        <v>Sitasi</v>
      </c>
      <c r="H197" s="919">
        <f>IFERROR(__xludf.DUMMYFUNCTION("""COMPUTED_VALUE"""),813.0)</f>
        <v>813</v>
      </c>
      <c r="I197" s="966"/>
      <c r="J197" s="967" t="str">
        <f>IFERROR(__xludf.DUMMYFUNCTION("""COMPUTED_VALUE"""),"Sitasi")</f>
        <v>Sitasi</v>
      </c>
      <c r="K197" s="968"/>
      <c r="L197" s="969"/>
      <c r="M197" s="951" t="str">
        <f>IFERROR(__xludf.DUMMYFUNCTION("""COMPUTED_VALUE"""),"DOK PUBLISHED")</f>
        <v>DOK PUBLISHED</v>
      </c>
      <c r="N197" s="951" t="str">
        <f>IFERROR(__xludf.DUMMYFUNCTION("""COMPUTED_VALUE"""),"SITASI")</f>
        <v>SITASI</v>
      </c>
      <c r="O197" s="959"/>
      <c r="P197" s="959"/>
      <c r="Q197" s="959"/>
      <c r="R197" s="959"/>
      <c r="S197" s="959"/>
      <c r="T197" s="959"/>
      <c r="U197" s="959"/>
      <c r="V197" s="959"/>
      <c r="W197" s="959"/>
      <c r="X197" s="959"/>
    </row>
    <row r="198">
      <c r="A198" s="822"/>
      <c r="B198" s="825"/>
      <c r="C198" s="893" t="str">
        <f>IFERROR(__xludf.DUMMYFUNCTION("""COMPUTED_VALUE"""),"Triwulan III")</f>
        <v>Triwulan III</v>
      </c>
      <c r="D198" s="825"/>
      <c r="E198" s="874"/>
      <c r="F198" s="875"/>
      <c r="G198" s="875"/>
      <c r="H198" s="875"/>
      <c r="I198" s="875"/>
      <c r="J198" s="875"/>
      <c r="K198" s="875"/>
      <c r="L198" s="894"/>
      <c r="M198" s="947">
        <f>IFERROR(__xludf.DUMMYFUNCTION("""COMPUTED_VALUE"""),0.0)</f>
        <v>0</v>
      </c>
      <c r="N198" s="947">
        <f>IFERROR(__xludf.DUMMYFUNCTION("""COMPUTED_VALUE"""),0.0)</f>
        <v>0</v>
      </c>
      <c r="O198" s="959"/>
      <c r="P198" s="959"/>
      <c r="Q198" s="959"/>
      <c r="R198" s="959"/>
      <c r="S198" s="959"/>
      <c r="T198" s="959"/>
      <c r="U198" s="959"/>
      <c r="V198" s="959"/>
      <c r="W198" s="959"/>
      <c r="X198" s="959"/>
    </row>
    <row r="199">
      <c r="A199" s="822"/>
      <c r="B199" s="825"/>
      <c r="C199" s="893" t="str">
        <f>IFERROR(__xludf.DUMMYFUNCTION("""COMPUTED_VALUE"""),"Triwulan III")</f>
        <v>Triwulan III</v>
      </c>
      <c r="D199" s="825"/>
      <c r="E199" s="867" t="s">
        <v>951</v>
      </c>
      <c r="F199" s="868"/>
      <c r="G199" s="970" t="str">
        <f>IFERROR(__xludf.DUMMYFUNCTION("""COMPUTED_VALUE"""),"Publikasi Nasional")</f>
        <v>Publikasi Nasional</v>
      </c>
      <c r="H199" s="925">
        <f>IFERROR(__xludf.DUMMYFUNCTION("""COMPUTED_VALUE"""),2.0)</f>
        <v>2</v>
      </c>
      <c r="I199" s="971"/>
      <c r="J199" s="972" t="str">
        <f>IFERROR(__xludf.DUMMYFUNCTION("""COMPUTED_VALUE"""),"Publikasi Nasional")</f>
        <v>Publikasi Nasional</v>
      </c>
      <c r="K199" s="925"/>
      <c r="L199" s="894"/>
      <c r="M199" s="959"/>
      <c r="N199" s="959"/>
      <c r="O199" s="959"/>
      <c r="P199" s="959"/>
      <c r="Q199" s="959"/>
      <c r="R199" s="959"/>
      <c r="S199" s="959"/>
      <c r="T199" s="959"/>
      <c r="U199" s="959"/>
      <c r="V199" s="959"/>
      <c r="W199" s="959"/>
      <c r="X199" s="959"/>
    </row>
    <row r="200">
      <c r="A200" s="673"/>
      <c r="B200" s="881"/>
      <c r="C200" s="893" t="str">
        <f>IFERROR(__xludf.DUMMYFUNCTION("""COMPUTED_VALUE"""),"Triwulan III")</f>
        <v>Triwulan III</v>
      </c>
      <c r="D200" s="881"/>
      <c r="E200" s="674"/>
      <c r="F200" s="881"/>
      <c r="G200" s="881"/>
      <c r="H200" s="881"/>
      <c r="I200" s="881"/>
      <c r="J200" s="881"/>
      <c r="K200" s="881"/>
      <c r="L200" s="930"/>
      <c r="M200" s="959"/>
      <c r="N200" s="959"/>
      <c r="O200" s="959"/>
      <c r="P200" s="959"/>
      <c r="Q200" s="959"/>
      <c r="R200" s="959"/>
      <c r="S200" s="959"/>
      <c r="T200" s="959"/>
      <c r="U200" s="959"/>
      <c r="V200" s="959"/>
      <c r="W200" s="959"/>
      <c r="X200" s="959"/>
    </row>
    <row r="201">
      <c r="C201" s="538"/>
      <c r="G201" s="975"/>
    </row>
    <row r="202">
      <c r="C202" s="538"/>
      <c r="G202" s="975"/>
    </row>
    <row r="203">
      <c r="C203" s="538"/>
      <c r="G203" s="975"/>
    </row>
    <row r="204">
      <c r="C204" s="538"/>
      <c r="G204" s="975"/>
    </row>
    <row r="205">
      <c r="C205" s="538"/>
      <c r="G205" s="975"/>
    </row>
    <row r="206">
      <c r="C206" s="538"/>
      <c r="G206" s="975"/>
    </row>
    <row r="207">
      <c r="C207" s="538"/>
      <c r="G207" s="975"/>
    </row>
    <row r="208">
      <c r="C208" s="538"/>
      <c r="G208" s="975"/>
    </row>
    <row r="209">
      <c r="C209" s="538"/>
      <c r="G209" s="975"/>
    </row>
    <row r="210">
      <c r="C210" s="538"/>
      <c r="G210" s="975"/>
    </row>
    <row r="211">
      <c r="C211" s="538"/>
      <c r="G211" s="975"/>
    </row>
    <row r="212">
      <c r="C212" s="538"/>
      <c r="G212" s="975"/>
    </row>
    <row r="213">
      <c r="C213" s="538"/>
      <c r="G213" s="975"/>
    </row>
    <row r="214">
      <c r="C214" s="538"/>
      <c r="G214" s="975"/>
    </row>
    <row r="215">
      <c r="C215" s="538"/>
      <c r="G215" s="975"/>
    </row>
    <row r="216">
      <c r="C216" s="538"/>
      <c r="G216" s="975"/>
    </row>
    <row r="217">
      <c r="C217" s="538"/>
      <c r="G217" s="975"/>
    </row>
    <row r="218">
      <c r="C218" s="538"/>
      <c r="G218" s="975"/>
    </row>
    <row r="219">
      <c r="C219" s="538"/>
      <c r="G219" s="975"/>
    </row>
    <row r="220">
      <c r="C220" s="538"/>
      <c r="G220" s="975"/>
    </row>
    <row r="221">
      <c r="C221" s="538"/>
      <c r="G221" s="975"/>
    </row>
    <row r="222">
      <c r="C222" s="538"/>
      <c r="G222" s="975"/>
    </row>
    <row r="223">
      <c r="C223" s="538"/>
      <c r="G223" s="975"/>
    </row>
    <row r="224">
      <c r="C224" s="538"/>
      <c r="G224" s="975"/>
    </row>
    <row r="225">
      <c r="C225" s="538"/>
      <c r="G225" s="975"/>
    </row>
    <row r="226">
      <c r="C226" s="538"/>
      <c r="G226" s="975"/>
    </row>
    <row r="227">
      <c r="C227" s="538"/>
      <c r="G227" s="975"/>
    </row>
    <row r="228">
      <c r="C228" s="538"/>
      <c r="G228" s="975"/>
    </row>
    <row r="229">
      <c r="C229" s="538"/>
      <c r="G229" s="975"/>
    </row>
    <row r="230">
      <c r="C230" s="538"/>
      <c r="G230" s="975"/>
    </row>
    <row r="231">
      <c r="C231" s="538"/>
      <c r="G231" s="975"/>
    </row>
    <row r="232">
      <c r="C232" s="538"/>
      <c r="G232" s="975"/>
    </row>
    <row r="233">
      <c r="C233" s="538"/>
      <c r="G233" s="975"/>
    </row>
    <row r="234">
      <c r="C234" s="538"/>
      <c r="G234" s="975"/>
    </row>
    <row r="235">
      <c r="C235" s="538"/>
      <c r="G235" s="975"/>
    </row>
    <row r="236">
      <c r="C236" s="538"/>
      <c r="G236" s="975"/>
    </row>
    <row r="237">
      <c r="C237" s="538"/>
      <c r="G237" s="975"/>
    </row>
    <row r="238">
      <c r="C238" s="538"/>
      <c r="G238" s="975"/>
    </row>
    <row r="239">
      <c r="C239" s="538"/>
      <c r="G239" s="975"/>
    </row>
    <row r="240">
      <c r="C240" s="538"/>
      <c r="G240" s="975"/>
    </row>
    <row r="241">
      <c r="C241" s="538"/>
      <c r="G241" s="975"/>
    </row>
    <row r="242">
      <c r="C242" s="538"/>
      <c r="G242" s="975"/>
    </row>
    <row r="243">
      <c r="C243" s="538"/>
      <c r="G243" s="975"/>
    </row>
    <row r="244">
      <c r="C244" s="538"/>
      <c r="G244" s="975"/>
    </row>
    <row r="245">
      <c r="C245" s="538"/>
      <c r="G245" s="975"/>
    </row>
    <row r="246">
      <c r="C246" s="538"/>
      <c r="G246" s="975"/>
    </row>
    <row r="247">
      <c r="C247" s="538"/>
      <c r="G247" s="975"/>
    </row>
    <row r="248">
      <c r="C248" s="538"/>
      <c r="G248" s="975"/>
    </row>
    <row r="249">
      <c r="C249" s="538"/>
      <c r="G249" s="975"/>
    </row>
    <row r="250">
      <c r="C250" s="538"/>
      <c r="G250" s="975"/>
    </row>
    <row r="251">
      <c r="C251" s="538"/>
      <c r="G251" s="975"/>
    </row>
    <row r="252">
      <c r="C252" s="538"/>
      <c r="G252" s="975"/>
    </row>
    <row r="253">
      <c r="C253" s="538"/>
      <c r="G253" s="975"/>
    </row>
    <row r="254">
      <c r="C254" s="538"/>
      <c r="G254" s="975"/>
    </row>
    <row r="255">
      <c r="C255" s="538"/>
      <c r="G255" s="975"/>
    </row>
    <row r="256">
      <c r="C256" s="538"/>
      <c r="G256" s="975"/>
    </row>
    <row r="257">
      <c r="C257" s="538"/>
      <c r="G257" s="975"/>
    </row>
    <row r="258">
      <c r="C258" s="538"/>
      <c r="G258" s="975"/>
    </row>
    <row r="259">
      <c r="C259" s="538"/>
      <c r="G259" s="975"/>
    </row>
    <row r="260">
      <c r="C260" s="538"/>
      <c r="G260" s="975"/>
    </row>
    <row r="261">
      <c r="C261" s="538"/>
      <c r="G261" s="975"/>
    </row>
    <row r="262">
      <c r="C262" s="538"/>
      <c r="G262" s="975"/>
    </row>
    <row r="263">
      <c r="C263" s="538"/>
      <c r="G263" s="975"/>
    </row>
    <row r="264">
      <c r="C264" s="538"/>
      <c r="G264" s="975"/>
    </row>
    <row r="265">
      <c r="C265" s="538"/>
      <c r="G265" s="975"/>
    </row>
    <row r="266">
      <c r="C266" s="538"/>
      <c r="G266" s="975"/>
    </row>
    <row r="267">
      <c r="C267" s="538"/>
      <c r="G267" s="975"/>
    </row>
    <row r="268">
      <c r="C268" s="538"/>
      <c r="G268" s="975"/>
    </row>
    <row r="269">
      <c r="C269" s="538"/>
      <c r="G269" s="975"/>
    </row>
    <row r="270">
      <c r="C270" s="538"/>
      <c r="G270" s="975"/>
    </row>
    <row r="271">
      <c r="C271" s="538"/>
      <c r="G271" s="975"/>
    </row>
    <row r="272">
      <c r="C272" s="538"/>
      <c r="G272" s="975"/>
    </row>
  </sheetData>
  <autoFilter ref="$C$2:$C$68"/>
  <mergeCells count="747">
    <mergeCell ref="J102:J103"/>
    <mergeCell ref="K102:K103"/>
    <mergeCell ref="G104:G105"/>
    <mergeCell ref="H104:H105"/>
    <mergeCell ref="F106:F108"/>
    <mergeCell ref="G106:G108"/>
    <mergeCell ref="H106:H108"/>
    <mergeCell ref="I94:I96"/>
    <mergeCell ref="I100:I101"/>
    <mergeCell ref="F102:F103"/>
    <mergeCell ref="G102:G103"/>
    <mergeCell ref="H102:H103"/>
    <mergeCell ref="I102:I103"/>
    <mergeCell ref="F104:F105"/>
    <mergeCell ref="I104:I105"/>
    <mergeCell ref="J104:J105"/>
    <mergeCell ref="M106:N106"/>
    <mergeCell ref="O106:P106"/>
    <mergeCell ref="Q106:R106"/>
    <mergeCell ref="I91:I93"/>
    <mergeCell ref="J91:J93"/>
    <mergeCell ref="K91:K93"/>
    <mergeCell ref="L91:L108"/>
    <mergeCell ref="J94:J96"/>
    <mergeCell ref="K94:K96"/>
    <mergeCell ref="K97:K99"/>
    <mergeCell ref="M116:N116"/>
    <mergeCell ref="O116:P116"/>
    <mergeCell ref="Q116:R116"/>
    <mergeCell ref="S116:T116"/>
    <mergeCell ref="M119:N119"/>
    <mergeCell ref="O119:P119"/>
    <mergeCell ref="Q119:R119"/>
    <mergeCell ref="S119:T119"/>
    <mergeCell ref="K104:K105"/>
    <mergeCell ref="I106:I108"/>
    <mergeCell ref="J106:J108"/>
    <mergeCell ref="K106:K108"/>
    <mergeCell ref="M113:N113"/>
    <mergeCell ref="O113:P113"/>
    <mergeCell ref="Q113:R113"/>
    <mergeCell ref="K122:K123"/>
    <mergeCell ref="K124:K125"/>
    <mergeCell ref="J126:J127"/>
    <mergeCell ref="K126:K127"/>
    <mergeCell ref="J128:J130"/>
    <mergeCell ref="K128:K130"/>
    <mergeCell ref="J111:J112"/>
    <mergeCell ref="K111:K112"/>
    <mergeCell ref="L113:L130"/>
    <mergeCell ref="J116:J118"/>
    <mergeCell ref="K116:K118"/>
    <mergeCell ref="J119:J121"/>
    <mergeCell ref="K119:K121"/>
    <mergeCell ref="F128:F130"/>
    <mergeCell ref="G128:G130"/>
    <mergeCell ref="H128:H130"/>
    <mergeCell ref="I128:I130"/>
    <mergeCell ref="M128:N128"/>
    <mergeCell ref="O128:P128"/>
    <mergeCell ref="Q128:R128"/>
    <mergeCell ref="E124:E125"/>
    <mergeCell ref="E126:E127"/>
    <mergeCell ref="F126:F127"/>
    <mergeCell ref="G126:G127"/>
    <mergeCell ref="H126:H127"/>
    <mergeCell ref="I126:I127"/>
    <mergeCell ref="E128:E130"/>
    <mergeCell ref="D91:D108"/>
    <mergeCell ref="D109:D112"/>
    <mergeCell ref="D87:D90"/>
    <mergeCell ref="E87:E88"/>
    <mergeCell ref="E89:E90"/>
    <mergeCell ref="E91:E93"/>
    <mergeCell ref="E102:E103"/>
    <mergeCell ref="E104:E105"/>
    <mergeCell ref="E106:E108"/>
    <mergeCell ref="F111:F112"/>
    <mergeCell ref="G111:G112"/>
    <mergeCell ref="F113:F115"/>
    <mergeCell ref="G113:G115"/>
    <mergeCell ref="H113:H115"/>
    <mergeCell ref="I113:I115"/>
    <mergeCell ref="J113:J115"/>
    <mergeCell ref="K113:K115"/>
    <mergeCell ref="H111:H112"/>
    <mergeCell ref="I111:I112"/>
    <mergeCell ref="F109:F110"/>
    <mergeCell ref="G109:G110"/>
    <mergeCell ref="H109:H110"/>
    <mergeCell ref="I109:I110"/>
    <mergeCell ref="J109:J110"/>
    <mergeCell ref="K109:K110"/>
    <mergeCell ref="L109:L112"/>
    <mergeCell ref="E109:E110"/>
    <mergeCell ref="E111:E112"/>
    <mergeCell ref="E116:E118"/>
    <mergeCell ref="F116:F118"/>
    <mergeCell ref="G116:G118"/>
    <mergeCell ref="H116:H118"/>
    <mergeCell ref="I116:I118"/>
    <mergeCell ref="I122:I123"/>
    <mergeCell ref="J122:J123"/>
    <mergeCell ref="F124:F125"/>
    <mergeCell ref="G124:G125"/>
    <mergeCell ref="H124:H125"/>
    <mergeCell ref="I124:I125"/>
    <mergeCell ref="J124:J125"/>
    <mergeCell ref="E194:E196"/>
    <mergeCell ref="E197:E198"/>
    <mergeCell ref="H197:H198"/>
    <mergeCell ref="I197:I198"/>
    <mergeCell ref="J197:J198"/>
    <mergeCell ref="K197:K198"/>
    <mergeCell ref="D197:D200"/>
    <mergeCell ref="E199:E200"/>
    <mergeCell ref="F199:F200"/>
    <mergeCell ref="G199:G200"/>
    <mergeCell ref="H199:H200"/>
    <mergeCell ref="I199:I200"/>
    <mergeCell ref="J199:J200"/>
    <mergeCell ref="K199:K200"/>
    <mergeCell ref="F194:F196"/>
    <mergeCell ref="G194:G196"/>
    <mergeCell ref="H194:H196"/>
    <mergeCell ref="I194:I196"/>
    <mergeCell ref="J194:J196"/>
    <mergeCell ref="K194:K196"/>
    <mergeCell ref="L197:L200"/>
    <mergeCell ref="Q185:R185"/>
    <mergeCell ref="S185:T185"/>
    <mergeCell ref="G185:G187"/>
    <mergeCell ref="H185:H187"/>
    <mergeCell ref="I185:I187"/>
    <mergeCell ref="J185:J187"/>
    <mergeCell ref="K185:K187"/>
    <mergeCell ref="M185:N185"/>
    <mergeCell ref="O185:P185"/>
    <mergeCell ref="E188:E189"/>
    <mergeCell ref="F188:F189"/>
    <mergeCell ref="G188:G189"/>
    <mergeCell ref="H188:H189"/>
    <mergeCell ref="I188:I189"/>
    <mergeCell ref="J188:J189"/>
    <mergeCell ref="K188:K189"/>
    <mergeCell ref="E190:E191"/>
    <mergeCell ref="F190:F191"/>
    <mergeCell ref="G190:G191"/>
    <mergeCell ref="H190:H191"/>
    <mergeCell ref="I190:I191"/>
    <mergeCell ref="J190:J191"/>
    <mergeCell ref="K190:K191"/>
    <mergeCell ref="E192:E193"/>
    <mergeCell ref="F192:F193"/>
    <mergeCell ref="G192:G193"/>
    <mergeCell ref="H192:H193"/>
    <mergeCell ref="I192:I193"/>
    <mergeCell ref="J192:J193"/>
    <mergeCell ref="K192:K193"/>
    <mergeCell ref="M194:N194"/>
    <mergeCell ref="O194:P194"/>
    <mergeCell ref="Q194:R194"/>
    <mergeCell ref="F197:F198"/>
    <mergeCell ref="G197:G198"/>
    <mergeCell ref="E6:E8"/>
    <mergeCell ref="F6:F8"/>
    <mergeCell ref="G6:G8"/>
    <mergeCell ref="H6:H8"/>
    <mergeCell ref="I6:I8"/>
    <mergeCell ref="J6:J8"/>
    <mergeCell ref="M3:N3"/>
    <mergeCell ref="M6:N6"/>
    <mergeCell ref="O6:P6"/>
    <mergeCell ref="Q6:R6"/>
    <mergeCell ref="S6:T6"/>
    <mergeCell ref="S9:T9"/>
    <mergeCell ref="E9:E11"/>
    <mergeCell ref="F9:F11"/>
    <mergeCell ref="I9:I11"/>
    <mergeCell ref="J9:J11"/>
    <mergeCell ref="G9:G11"/>
    <mergeCell ref="H9:H11"/>
    <mergeCell ref="E12:E13"/>
    <mergeCell ref="F12:F13"/>
    <mergeCell ref="G12:G13"/>
    <mergeCell ref="H12:H13"/>
    <mergeCell ref="E14:E15"/>
    <mergeCell ref="F14:F15"/>
    <mergeCell ref="G14:G15"/>
    <mergeCell ref="H14:H15"/>
    <mergeCell ref="E16:E17"/>
    <mergeCell ref="F16:F17"/>
    <mergeCell ref="G16:G17"/>
    <mergeCell ref="H16:H17"/>
    <mergeCell ref="M31:N31"/>
    <mergeCell ref="O31:P31"/>
    <mergeCell ref="Q31:R31"/>
    <mergeCell ref="S31:T31"/>
    <mergeCell ref="M18:N18"/>
    <mergeCell ref="O18:P18"/>
    <mergeCell ref="M25:N25"/>
    <mergeCell ref="O25:P25"/>
    <mergeCell ref="Q25:R25"/>
    <mergeCell ref="M28:N28"/>
    <mergeCell ref="O28:P28"/>
    <mergeCell ref="O50:P50"/>
    <mergeCell ref="Q50:R50"/>
    <mergeCell ref="S50:T50"/>
    <mergeCell ref="M53:N53"/>
    <mergeCell ref="O53:P53"/>
    <mergeCell ref="Q53:R53"/>
    <mergeCell ref="S53:T53"/>
    <mergeCell ref="M40:N40"/>
    <mergeCell ref="O40:P40"/>
    <mergeCell ref="Q40:R40"/>
    <mergeCell ref="M47:N47"/>
    <mergeCell ref="O47:P47"/>
    <mergeCell ref="Q47:R47"/>
    <mergeCell ref="M50:N50"/>
    <mergeCell ref="K9:K11"/>
    <mergeCell ref="M9:N9"/>
    <mergeCell ref="O9:P9"/>
    <mergeCell ref="Q9:R9"/>
    <mergeCell ref="I12:I13"/>
    <mergeCell ref="J12:J13"/>
    <mergeCell ref="K12:K13"/>
    <mergeCell ref="I14:I15"/>
    <mergeCell ref="J14:J15"/>
    <mergeCell ref="K14:K15"/>
    <mergeCell ref="I16:I17"/>
    <mergeCell ref="J16:J17"/>
    <mergeCell ref="I3:I5"/>
    <mergeCell ref="J3:J5"/>
    <mergeCell ref="K3:K5"/>
    <mergeCell ref="L3:L20"/>
    <mergeCell ref="O3:P3"/>
    <mergeCell ref="Q3:R3"/>
    <mergeCell ref="K6:K8"/>
    <mergeCell ref="Q18:R18"/>
    <mergeCell ref="Q28:R28"/>
    <mergeCell ref="S28:T28"/>
    <mergeCell ref="E18:E20"/>
    <mergeCell ref="F18:F20"/>
    <mergeCell ref="G18:G20"/>
    <mergeCell ref="H18:H20"/>
    <mergeCell ref="F21:F22"/>
    <mergeCell ref="G21:G22"/>
    <mergeCell ref="A3:A24"/>
    <mergeCell ref="B3:B24"/>
    <mergeCell ref="D3:D20"/>
    <mergeCell ref="E3:E5"/>
    <mergeCell ref="F3:F5"/>
    <mergeCell ref="G3:G5"/>
    <mergeCell ref="H3:H5"/>
    <mergeCell ref="F28:F30"/>
    <mergeCell ref="G28:G30"/>
    <mergeCell ref="H28:H30"/>
    <mergeCell ref="H21:H22"/>
    <mergeCell ref="F23:F24"/>
    <mergeCell ref="G23:G24"/>
    <mergeCell ref="H23:H24"/>
    <mergeCell ref="F25:F27"/>
    <mergeCell ref="G25:G27"/>
    <mergeCell ref="H25:H27"/>
    <mergeCell ref="F40:F42"/>
    <mergeCell ref="G40:G42"/>
    <mergeCell ref="H40:H42"/>
    <mergeCell ref="F43:F44"/>
    <mergeCell ref="G43:G44"/>
    <mergeCell ref="H43:H44"/>
    <mergeCell ref="A113:A134"/>
    <mergeCell ref="A135:A156"/>
    <mergeCell ref="A157:A178"/>
    <mergeCell ref="A179:A200"/>
    <mergeCell ref="B135:B156"/>
    <mergeCell ref="B157:B178"/>
    <mergeCell ref="B179:B200"/>
    <mergeCell ref="A47:A68"/>
    <mergeCell ref="B47:B68"/>
    <mergeCell ref="A69:A90"/>
    <mergeCell ref="B69:B90"/>
    <mergeCell ref="A91:A112"/>
    <mergeCell ref="B91:B112"/>
    <mergeCell ref="B113:B134"/>
    <mergeCell ref="E34:E35"/>
    <mergeCell ref="E36:E37"/>
    <mergeCell ref="E38:E39"/>
    <mergeCell ref="E40:E42"/>
    <mergeCell ref="D21:D24"/>
    <mergeCell ref="E21:E22"/>
    <mergeCell ref="E23:E24"/>
    <mergeCell ref="A25:A46"/>
    <mergeCell ref="B25:B46"/>
    <mergeCell ref="D25:D42"/>
    <mergeCell ref="E25:E27"/>
    <mergeCell ref="E56:E57"/>
    <mergeCell ref="E58:E59"/>
    <mergeCell ref="E60:E61"/>
    <mergeCell ref="E62:E64"/>
    <mergeCell ref="D43:D46"/>
    <mergeCell ref="E43:E44"/>
    <mergeCell ref="E45:E46"/>
    <mergeCell ref="D47:D64"/>
    <mergeCell ref="E47:E49"/>
    <mergeCell ref="E50:E52"/>
    <mergeCell ref="E53:E55"/>
    <mergeCell ref="D113:D130"/>
    <mergeCell ref="E113:E115"/>
    <mergeCell ref="D131:D134"/>
    <mergeCell ref="E131:E132"/>
    <mergeCell ref="E133:E134"/>
    <mergeCell ref="D135:D152"/>
    <mergeCell ref="E135:E137"/>
    <mergeCell ref="J40:J42"/>
    <mergeCell ref="K40:K42"/>
    <mergeCell ref="J23:J24"/>
    <mergeCell ref="K23:K24"/>
    <mergeCell ref="J25:J27"/>
    <mergeCell ref="K25:K27"/>
    <mergeCell ref="L25:L42"/>
    <mergeCell ref="J28:J30"/>
    <mergeCell ref="K28:K30"/>
    <mergeCell ref="K16:K17"/>
    <mergeCell ref="I18:I20"/>
    <mergeCell ref="J18:J20"/>
    <mergeCell ref="K18:K20"/>
    <mergeCell ref="J21:J22"/>
    <mergeCell ref="K21:K22"/>
    <mergeCell ref="L21:L24"/>
    <mergeCell ref="J31:J33"/>
    <mergeCell ref="K31:K33"/>
    <mergeCell ref="J34:J35"/>
    <mergeCell ref="K34:K35"/>
    <mergeCell ref="J36:J37"/>
    <mergeCell ref="K36:K37"/>
    <mergeCell ref="J38:J39"/>
    <mergeCell ref="K38:K39"/>
    <mergeCell ref="I38:I39"/>
    <mergeCell ref="I40:I42"/>
    <mergeCell ref="I21:I22"/>
    <mergeCell ref="I23:I24"/>
    <mergeCell ref="I25:I27"/>
    <mergeCell ref="I28:I30"/>
    <mergeCell ref="I31:I33"/>
    <mergeCell ref="I34:I35"/>
    <mergeCell ref="I36:I37"/>
    <mergeCell ref="J53:J55"/>
    <mergeCell ref="K53:K55"/>
    <mergeCell ref="I53:I55"/>
    <mergeCell ref="I58:I59"/>
    <mergeCell ref="J58:J59"/>
    <mergeCell ref="K58:K59"/>
    <mergeCell ref="I60:I61"/>
    <mergeCell ref="J60:J61"/>
    <mergeCell ref="I50:I52"/>
    <mergeCell ref="I62:I64"/>
    <mergeCell ref="J62:J64"/>
    <mergeCell ref="K62:K64"/>
    <mergeCell ref="I45:I46"/>
    <mergeCell ref="J45:J46"/>
    <mergeCell ref="L47:L64"/>
    <mergeCell ref="J50:J52"/>
    <mergeCell ref="K50:K52"/>
    <mergeCell ref="K56:K57"/>
    <mergeCell ref="K60:K61"/>
    <mergeCell ref="E28:E30"/>
    <mergeCell ref="E31:E33"/>
    <mergeCell ref="F31:F33"/>
    <mergeCell ref="G31:G33"/>
    <mergeCell ref="H31:H33"/>
    <mergeCell ref="G34:G35"/>
    <mergeCell ref="H34:H35"/>
    <mergeCell ref="F34:F35"/>
    <mergeCell ref="F36:F37"/>
    <mergeCell ref="G36:G37"/>
    <mergeCell ref="H36:H37"/>
    <mergeCell ref="F38:F39"/>
    <mergeCell ref="G38:G39"/>
    <mergeCell ref="H38:H39"/>
    <mergeCell ref="I43:I44"/>
    <mergeCell ref="J43:J44"/>
    <mergeCell ref="K43:K44"/>
    <mergeCell ref="L43:L46"/>
    <mergeCell ref="G45:G46"/>
    <mergeCell ref="H45:H46"/>
    <mergeCell ref="K45:K46"/>
    <mergeCell ref="F45:F46"/>
    <mergeCell ref="F47:F49"/>
    <mergeCell ref="G47:G49"/>
    <mergeCell ref="H47:H49"/>
    <mergeCell ref="I47:I49"/>
    <mergeCell ref="J47:J49"/>
    <mergeCell ref="K47:K49"/>
    <mergeCell ref="G56:G57"/>
    <mergeCell ref="H56:H57"/>
    <mergeCell ref="I56:I57"/>
    <mergeCell ref="J56:J57"/>
    <mergeCell ref="F50:F52"/>
    <mergeCell ref="G50:G52"/>
    <mergeCell ref="H50:H52"/>
    <mergeCell ref="F53:F55"/>
    <mergeCell ref="G53:G55"/>
    <mergeCell ref="H53:H55"/>
    <mergeCell ref="F56:F57"/>
    <mergeCell ref="F67:F68"/>
    <mergeCell ref="G67:G68"/>
    <mergeCell ref="F69:F71"/>
    <mergeCell ref="G69:G71"/>
    <mergeCell ref="H69:H71"/>
    <mergeCell ref="I69:I71"/>
    <mergeCell ref="J69:J71"/>
    <mergeCell ref="F72:F74"/>
    <mergeCell ref="G72:G74"/>
    <mergeCell ref="H72:H74"/>
    <mergeCell ref="I72:I74"/>
    <mergeCell ref="F75:F77"/>
    <mergeCell ref="G75:G77"/>
    <mergeCell ref="H75:H77"/>
    <mergeCell ref="G62:G64"/>
    <mergeCell ref="H62:H64"/>
    <mergeCell ref="M62:N62"/>
    <mergeCell ref="O62:P62"/>
    <mergeCell ref="Q62:R62"/>
    <mergeCell ref="F58:F59"/>
    <mergeCell ref="G58:G59"/>
    <mergeCell ref="H58:H59"/>
    <mergeCell ref="F60:F61"/>
    <mergeCell ref="G60:G61"/>
    <mergeCell ref="H60:H61"/>
    <mergeCell ref="F62:F64"/>
    <mergeCell ref="H67:H68"/>
    <mergeCell ref="I67:I68"/>
    <mergeCell ref="F65:F66"/>
    <mergeCell ref="G65:G66"/>
    <mergeCell ref="H65:H66"/>
    <mergeCell ref="I65:I66"/>
    <mergeCell ref="J65:J66"/>
    <mergeCell ref="K65:K66"/>
    <mergeCell ref="L65:L68"/>
    <mergeCell ref="K69:K71"/>
    <mergeCell ref="M69:N69"/>
    <mergeCell ref="O69:P69"/>
    <mergeCell ref="Q69:R69"/>
    <mergeCell ref="M72:N72"/>
    <mergeCell ref="O72:P72"/>
    <mergeCell ref="Q72:R72"/>
    <mergeCell ref="S72:T72"/>
    <mergeCell ref="H78:H79"/>
    <mergeCell ref="I78:I79"/>
    <mergeCell ref="I75:I77"/>
    <mergeCell ref="M75:N75"/>
    <mergeCell ref="O75:P75"/>
    <mergeCell ref="Q75:R75"/>
    <mergeCell ref="S75:T75"/>
    <mergeCell ref="F78:F79"/>
    <mergeCell ref="G78:G79"/>
    <mergeCell ref="I82:I83"/>
    <mergeCell ref="I84:I86"/>
    <mergeCell ref="I87:I88"/>
    <mergeCell ref="I89:I90"/>
    <mergeCell ref="J78:J79"/>
    <mergeCell ref="K78:K79"/>
    <mergeCell ref="I80:I81"/>
    <mergeCell ref="J80:J81"/>
    <mergeCell ref="K80:K81"/>
    <mergeCell ref="J82:J83"/>
    <mergeCell ref="K82:K83"/>
    <mergeCell ref="J84:J86"/>
    <mergeCell ref="K84:K86"/>
    <mergeCell ref="M84:N84"/>
    <mergeCell ref="O84:P84"/>
    <mergeCell ref="Q84:R84"/>
    <mergeCell ref="J67:J68"/>
    <mergeCell ref="K67:K68"/>
    <mergeCell ref="L69:L86"/>
    <mergeCell ref="J72:J74"/>
    <mergeCell ref="K72:K74"/>
    <mergeCell ref="J75:J77"/>
    <mergeCell ref="K75:K77"/>
    <mergeCell ref="J87:J88"/>
    <mergeCell ref="K87:K88"/>
    <mergeCell ref="L87:L90"/>
    <mergeCell ref="J89:J90"/>
    <mergeCell ref="K89:K90"/>
    <mergeCell ref="O91:P91"/>
    <mergeCell ref="Q91:R91"/>
    <mergeCell ref="Q97:R97"/>
    <mergeCell ref="S97:T97"/>
    <mergeCell ref="M91:N91"/>
    <mergeCell ref="M94:N94"/>
    <mergeCell ref="O94:P94"/>
    <mergeCell ref="Q94:R94"/>
    <mergeCell ref="S94:T94"/>
    <mergeCell ref="M97:N97"/>
    <mergeCell ref="O97:P97"/>
    <mergeCell ref="E78:E79"/>
    <mergeCell ref="E80:E81"/>
    <mergeCell ref="F80:F81"/>
    <mergeCell ref="G80:G81"/>
    <mergeCell ref="H80:H81"/>
    <mergeCell ref="F82:F83"/>
    <mergeCell ref="G82:G83"/>
    <mergeCell ref="H82:H83"/>
    <mergeCell ref="D65:D68"/>
    <mergeCell ref="E65:E66"/>
    <mergeCell ref="E67:E68"/>
    <mergeCell ref="D69:D86"/>
    <mergeCell ref="E69:E71"/>
    <mergeCell ref="E72:E74"/>
    <mergeCell ref="E75:E77"/>
    <mergeCell ref="E82:E83"/>
    <mergeCell ref="E84:E86"/>
    <mergeCell ref="F84:F86"/>
    <mergeCell ref="G84:G86"/>
    <mergeCell ref="H84:H86"/>
    <mergeCell ref="G87:G88"/>
    <mergeCell ref="H87:H88"/>
    <mergeCell ref="F87:F88"/>
    <mergeCell ref="F89:F90"/>
    <mergeCell ref="G89:G90"/>
    <mergeCell ref="H89:H90"/>
    <mergeCell ref="F91:F93"/>
    <mergeCell ref="G91:G93"/>
    <mergeCell ref="H91:H93"/>
    <mergeCell ref="I97:I99"/>
    <mergeCell ref="J97:J99"/>
    <mergeCell ref="J100:J101"/>
    <mergeCell ref="K100:K101"/>
    <mergeCell ref="E97:E99"/>
    <mergeCell ref="E100:E101"/>
    <mergeCell ref="F100:F101"/>
    <mergeCell ref="G100:G101"/>
    <mergeCell ref="H100:H101"/>
    <mergeCell ref="E94:E96"/>
    <mergeCell ref="F94:F96"/>
    <mergeCell ref="G94:G96"/>
    <mergeCell ref="H94:H96"/>
    <mergeCell ref="F97:F99"/>
    <mergeCell ref="G97:G99"/>
    <mergeCell ref="H97:H99"/>
    <mergeCell ref="F141:F143"/>
    <mergeCell ref="G141:G143"/>
    <mergeCell ref="H141:H143"/>
    <mergeCell ref="I141:I143"/>
    <mergeCell ref="E138:E140"/>
    <mergeCell ref="F138:F140"/>
    <mergeCell ref="G138:G140"/>
    <mergeCell ref="H138:H140"/>
    <mergeCell ref="I138:I140"/>
    <mergeCell ref="J138:J140"/>
    <mergeCell ref="E141:E143"/>
    <mergeCell ref="J141:J143"/>
    <mergeCell ref="F133:F134"/>
    <mergeCell ref="G133:G134"/>
    <mergeCell ref="H133:H134"/>
    <mergeCell ref="I133:I134"/>
    <mergeCell ref="J133:J134"/>
    <mergeCell ref="F135:F137"/>
    <mergeCell ref="G135:G137"/>
    <mergeCell ref="H135:H137"/>
    <mergeCell ref="I135:I137"/>
    <mergeCell ref="F144:F145"/>
    <mergeCell ref="G144:G145"/>
    <mergeCell ref="H144:H145"/>
    <mergeCell ref="I144:I145"/>
    <mergeCell ref="J144:J145"/>
    <mergeCell ref="K146:K147"/>
    <mergeCell ref="K148:K149"/>
    <mergeCell ref="K131:K132"/>
    <mergeCell ref="L131:L134"/>
    <mergeCell ref="K133:K134"/>
    <mergeCell ref="L135:L152"/>
    <mergeCell ref="K138:K140"/>
    <mergeCell ref="K141:K143"/>
    <mergeCell ref="K144:K145"/>
    <mergeCell ref="K150:K152"/>
    <mergeCell ref="H150:H152"/>
    <mergeCell ref="I150:I152"/>
    <mergeCell ref="E148:E149"/>
    <mergeCell ref="F148:F149"/>
    <mergeCell ref="G148:G149"/>
    <mergeCell ref="H148:H149"/>
    <mergeCell ref="I148:I149"/>
    <mergeCell ref="J148:J149"/>
    <mergeCell ref="E150:E152"/>
    <mergeCell ref="J150:J152"/>
    <mergeCell ref="E119:E121"/>
    <mergeCell ref="F119:F121"/>
    <mergeCell ref="G119:G121"/>
    <mergeCell ref="H119:H121"/>
    <mergeCell ref="I119:I121"/>
    <mergeCell ref="E122:E123"/>
    <mergeCell ref="F122:F123"/>
    <mergeCell ref="G122:G123"/>
    <mergeCell ref="H122:H123"/>
    <mergeCell ref="F131:F132"/>
    <mergeCell ref="G131:G132"/>
    <mergeCell ref="H131:H132"/>
    <mergeCell ref="I131:I132"/>
    <mergeCell ref="J131:J132"/>
    <mergeCell ref="Q138:R138"/>
    <mergeCell ref="S138:T138"/>
    <mergeCell ref="M141:N141"/>
    <mergeCell ref="O141:P141"/>
    <mergeCell ref="Q141:R141"/>
    <mergeCell ref="S141:T141"/>
    <mergeCell ref="J135:J137"/>
    <mergeCell ref="K135:K137"/>
    <mergeCell ref="M135:N135"/>
    <mergeCell ref="O135:P135"/>
    <mergeCell ref="Q135:R135"/>
    <mergeCell ref="M138:N138"/>
    <mergeCell ref="O138:P138"/>
    <mergeCell ref="E144:E145"/>
    <mergeCell ref="E146:E147"/>
    <mergeCell ref="F146:F147"/>
    <mergeCell ref="G146:G147"/>
    <mergeCell ref="H146:H147"/>
    <mergeCell ref="I146:I147"/>
    <mergeCell ref="J146:J147"/>
    <mergeCell ref="F150:F152"/>
    <mergeCell ref="G150:G152"/>
    <mergeCell ref="M150:N150"/>
    <mergeCell ref="O150:P150"/>
    <mergeCell ref="Q150:R150"/>
    <mergeCell ref="O163:P163"/>
    <mergeCell ref="Q163:R163"/>
    <mergeCell ref="E163:E165"/>
    <mergeCell ref="F163:F165"/>
    <mergeCell ref="G163:G165"/>
    <mergeCell ref="H163:H165"/>
    <mergeCell ref="I163:I165"/>
    <mergeCell ref="J163:J165"/>
    <mergeCell ref="M163:N163"/>
    <mergeCell ref="F168:F169"/>
    <mergeCell ref="G168:G169"/>
    <mergeCell ref="E172:E174"/>
    <mergeCell ref="F172:F174"/>
    <mergeCell ref="G172:G174"/>
    <mergeCell ref="H172:H174"/>
    <mergeCell ref="I172:I174"/>
    <mergeCell ref="J172:J174"/>
    <mergeCell ref="H168:H169"/>
    <mergeCell ref="I168:I169"/>
    <mergeCell ref="E166:E167"/>
    <mergeCell ref="F166:F167"/>
    <mergeCell ref="G166:G167"/>
    <mergeCell ref="H166:H167"/>
    <mergeCell ref="I166:I167"/>
    <mergeCell ref="J166:J167"/>
    <mergeCell ref="E168:E169"/>
    <mergeCell ref="J168:J169"/>
    <mergeCell ref="K168:K169"/>
    <mergeCell ref="K170:K171"/>
    <mergeCell ref="K153:K154"/>
    <mergeCell ref="L153:L156"/>
    <mergeCell ref="K155:K156"/>
    <mergeCell ref="L157:L174"/>
    <mergeCell ref="K160:K162"/>
    <mergeCell ref="K163:K165"/>
    <mergeCell ref="K166:K167"/>
    <mergeCell ref="K172:K174"/>
    <mergeCell ref="G155:G156"/>
    <mergeCell ref="H155:H156"/>
    <mergeCell ref="I155:I156"/>
    <mergeCell ref="J155:J156"/>
    <mergeCell ref="M157:N157"/>
    <mergeCell ref="O157:P157"/>
    <mergeCell ref="Q157:R157"/>
    <mergeCell ref="D153:D156"/>
    <mergeCell ref="E153:E154"/>
    <mergeCell ref="F153:F154"/>
    <mergeCell ref="G153:G154"/>
    <mergeCell ref="H153:H154"/>
    <mergeCell ref="I153:I154"/>
    <mergeCell ref="J153:J154"/>
    <mergeCell ref="M160:N160"/>
    <mergeCell ref="O160:P160"/>
    <mergeCell ref="Q160:R160"/>
    <mergeCell ref="S160:T160"/>
    <mergeCell ref="S163:T163"/>
    <mergeCell ref="F155:F156"/>
    <mergeCell ref="F157:F159"/>
    <mergeCell ref="G157:G159"/>
    <mergeCell ref="H157:H159"/>
    <mergeCell ref="I157:I159"/>
    <mergeCell ref="J157:J159"/>
    <mergeCell ref="K157:K159"/>
    <mergeCell ref="E155:E156"/>
    <mergeCell ref="E160:E162"/>
    <mergeCell ref="F160:F162"/>
    <mergeCell ref="G160:G162"/>
    <mergeCell ref="H160:H162"/>
    <mergeCell ref="I160:I162"/>
    <mergeCell ref="J160:J162"/>
    <mergeCell ref="O172:P172"/>
    <mergeCell ref="Q172:R172"/>
    <mergeCell ref="E170:E171"/>
    <mergeCell ref="F170:F171"/>
    <mergeCell ref="G170:G171"/>
    <mergeCell ref="H170:H171"/>
    <mergeCell ref="I170:I171"/>
    <mergeCell ref="J170:J171"/>
    <mergeCell ref="M172:N172"/>
    <mergeCell ref="E185:E187"/>
    <mergeCell ref="F185:F187"/>
    <mergeCell ref="E177:E178"/>
    <mergeCell ref="F177:F178"/>
    <mergeCell ref="D179:D196"/>
    <mergeCell ref="E179:E181"/>
    <mergeCell ref="F179:F181"/>
    <mergeCell ref="E182:E184"/>
    <mergeCell ref="F182:F184"/>
    <mergeCell ref="D157:D174"/>
    <mergeCell ref="E157:E159"/>
    <mergeCell ref="D175:D178"/>
    <mergeCell ref="E175:E176"/>
    <mergeCell ref="F175:F176"/>
    <mergeCell ref="G175:G176"/>
    <mergeCell ref="H175:H176"/>
    <mergeCell ref="M179:N179"/>
    <mergeCell ref="O179:P179"/>
    <mergeCell ref="Q179:R179"/>
    <mergeCell ref="G182:G184"/>
    <mergeCell ref="H182:H184"/>
    <mergeCell ref="G177:G178"/>
    <mergeCell ref="H177:H178"/>
    <mergeCell ref="G179:G181"/>
    <mergeCell ref="H179:H181"/>
    <mergeCell ref="I179:I181"/>
    <mergeCell ref="J179:J181"/>
    <mergeCell ref="K179:K181"/>
    <mergeCell ref="I177:I178"/>
    <mergeCell ref="I182:I184"/>
    <mergeCell ref="J182:J184"/>
    <mergeCell ref="K182:K184"/>
    <mergeCell ref="M182:N182"/>
    <mergeCell ref="O182:P182"/>
    <mergeCell ref="Q182:R182"/>
    <mergeCell ref="S182:T182"/>
    <mergeCell ref="I175:I176"/>
    <mergeCell ref="J175:J176"/>
    <mergeCell ref="K175:K176"/>
    <mergeCell ref="L175:L178"/>
    <mergeCell ref="J177:J178"/>
    <mergeCell ref="K177:K178"/>
    <mergeCell ref="L179:L19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1.22" defaultRowHeight="15.0"/>
  <cols>
    <col customWidth="1" min="1" max="1" width="11.22"/>
    <col customWidth="1" min="2" max="2" width="3.89"/>
    <col customWidth="1" min="3" max="3" width="43.67"/>
    <col customWidth="1" min="4" max="4" width="3.0"/>
    <col customWidth="1" min="5" max="5" width="11.22"/>
    <col customWidth="1" min="6" max="6" width="11.89"/>
    <col customWidth="1" min="7" max="7" width="12.22"/>
    <col customWidth="1" min="9" max="9" width="12.33"/>
    <col customWidth="1" min="14" max="14" width="11.78"/>
  </cols>
  <sheetData>
    <row r="1">
      <c r="A1" s="798"/>
      <c r="B1" s="798"/>
      <c r="C1" s="798"/>
      <c r="D1" s="798"/>
      <c r="E1" s="798"/>
      <c r="F1" s="798"/>
      <c r="G1" s="798"/>
      <c r="H1" s="798"/>
      <c r="I1" s="798"/>
      <c r="J1" s="798"/>
      <c r="K1" s="798"/>
      <c r="L1" s="798"/>
      <c r="M1" s="798"/>
      <c r="N1" s="798"/>
      <c r="O1" s="798"/>
      <c r="P1" s="798"/>
      <c r="Q1" s="798"/>
      <c r="R1" s="798"/>
      <c r="S1" s="798"/>
      <c r="T1" s="798"/>
      <c r="U1" s="798"/>
      <c r="V1" s="798"/>
      <c r="W1" s="798"/>
      <c r="X1" s="798"/>
      <c r="Y1" s="798"/>
      <c r="Z1" s="798"/>
      <c r="AA1" s="798"/>
      <c r="AB1" s="798"/>
      <c r="AC1" s="798"/>
      <c r="AD1" s="798"/>
    </row>
    <row r="2">
      <c r="A2" s="798" t="str">
        <f>IFERROR(__xludf.DUMMYFUNCTION("IMPORTRANGE(""https://docs.google.com/spreadsheets/d/1k5dEibec4ivVVaBFzPOLHX-_Q0mX-3_HGTZB49knk78/edit"", ""Rekap Capaian KR!A2:D200"")"),"")</f>
        <v/>
      </c>
      <c r="B2" s="798"/>
      <c r="C2" s="798"/>
      <c r="D2" s="798"/>
      <c r="E2" s="798"/>
      <c r="F2" s="798" t="str">
        <f>IFERROR(__xludf.DUMMYFUNCTION("IMPORTRANGE(""https://docs.google.com/spreadsheets/d/1k5dEibec4ivVVaBFzPOLHX-_Q0mX-3_HGTZB49knk78/edit"", ""Rekap Capaian KR!F2:AC200"")"),"")</f>
        <v/>
      </c>
      <c r="G2" s="798"/>
      <c r="H2" s="798"/>
      <c r="I2" s="798"/>
      <c r="J2" s="798"/>
      <c r="K2" s="798"/>
      <c r="L2" s="798"/>
      <c r="M2" s="798"/>
      <c r="N2" s="798"/>
      <c r="O2" s="798"/>
      <c r="P2" s="798"/>
      <c r="Q2" s="798"/>
      <c r="R2" s="798"/>
      <c r="S2" s="798"/>
      <c r="T2" s="798"/>
      <c r="U2" s="798"/>
      <c r="V2" s="798"/>
      <c r="W2" s="798"/>
      <c r="X2" s="798"/>
      <c r="Y2" s="798"/>
      <c r="Z2" s="798"/>
      <c r="AA2" s="798"/>
      <c r="AB2" s="798"/>
      <c r="AC2" s="798"/>
      <c r="AD2" s="798"/>
    </row>
    <row r="3">
      <c r="A3" s="798"/>
      <c r="B3" s="976" t="str">
        <f>IFERROR(__xludf.DUMMYFUNCTION("""COMPUTED_VALUE"""),"REALISASI CAPAIAN PERJANJIAN KINERJA")</f>
        <v>REALISASI CAPAIAN PERJANJIAN KINERJA</v>
      </c>
      <c r="M3" s="798"/>
      <c r="N3" s="798"/>
      <c r="O3" s="798"/>
      <c r="P3" s="798"/>
      <c r="Q3" s="798"/>
      <c r="R3" s="798"/>
      <c r="S3" s="798"/>
      <c r="T3" s="798"/>
      <c r="U3" s="798"/>
      <c r="V3" s="798"/>
      <c r="W3" s="798"/>
      <c r="X3" s="798"/>
      <c r="Y3" s="798"/>
      <c r="Z3" s="798"/>
      <c r="AA3" s="798"/>
      <c r="AB3" s="798"/>
      <c r="AC3" s="798"/>
      <c r="AD3" s="798"/>
    </row>
    <row r="4">
      <c r="A4" s="798"/>
      <c r="B4" s="976" t="str">
        <f>IFERROR(__xludf.DUMMYFUNCTION("""COMPUTED_VALUE"""),"KELOMPOK RISET - PUSAT RISET SAINS DATA INFORMASI")</f>
        <v>KELOMPOK RISET - PUSAT RISET SAINS DATA INFORMASI</v>
      </c>
      <c r="M4" s="798"/>
      <c r="N4" s="798"/>
      <c r="O4" s="798"/>
      <c r="P4" s="798"/>
      <c r="Q4" s="798"/>
      <c r="R4" s="798"/>
      <c r="S4" s="798"/>
      <c r="T4" s="798"/>
      <c r="U4" s="798"/>
      <c r="V4" s="798"/>
      <c r="W4" s="798"/>
      <c r="X4" s="798"/>
      <c r="Y4" s="798"/>
      <c r="Z4" s="798"/>
      <c r="AA4" s="798"/>
      <c r="AB4" s="798"/>
      <c r="AC4" s="798"/>
      <c r="AD4" s="798"/>
    </row>
    <row r="5">
      <c r="A5" s="798"/>
      <c r="B5" s="976" t="str">
        <f>IFERROR(__xludf.DUMMYFUNCTION("""COMPUTED_VALUE"""),"TAHUN 2024")</f>
        <v>TAHUN 2024</v>
      </c>
      <c r="M5" s="798"/>
      <c r="N5" s="798"/>
      <c r="O5" s="798"/>
      <c r="P5" s="798"/>
      <c r="Q5" s="798"/>
      <c r="R5" s="798"/>
      <c r="S5" s="798"/>
      <c r="T5" s="798"/>
      <c r="U5" s="798"/>
      <c r="V5" s="798"/>
      <c r="W5" s="798"/>
      <c r="X5" s="798"/>
      <c r="Y5" s="798"/>
      <c r="Z5" s="798"/>
      <c r="AA5" s="798"/>
      <c r="AB5" s="798"/>
      <c r="AC5" s="798"/>
      <c r="AD5" s="798"/>
    </row>
    <row r="6">
      <c r="A6" s="798"/>
      <c r="B6" s="798"/>
      <c r="C6" s="798"/>
      <c r="D6" s="798"/>
      <c r="E6" s="798"/>
      <c r="F6" s="798"/>
      <c r="G6" s="798"/>
      <c r="H6" s="798"/>
      <c r="I6" s="798"/>
      <c r="J6" s="798"/>
      <c r="K6" s="798"/>
      <c r="L6" s="798"/>
      <c r="M6" s="798"/>
      <c r="N6" s="798"/>
      <c r="O6" s="798"/>
      <c r="P6" s="798"/>
      <c r="Q6" s="798"/>
      <c r="R6" s="798"/>
      <c r="S6" s="798"/>
      <c r="T6" s="798"/>
      <c r="U6" s="798"/>
      <c r="V6" s="798"/>
      <c r="W6" s="798"/>
      <c r="X6" s="798"/>
      <c r="Y6" s="798"/>
      <c r="Z6" s="798"/>
      <c r="AA6" s="798"/>
      <c r="AB6" s="798"/>
      <c r="AC6" s="798"/>
      <c r="AD6" s="798"/>
    </row>
    <row r="7">
      <c r="A7" s="798"/>
      <c r="B7" s="977" t="str">
        <f>IFERROR(__xludf.DUMMYFUNCTION("""COMPUTED_VALUE"""),"NO")</f>
        <v>NO</v>
      </c>
      <c r="C7" s="977" t="str">
        <f>IFERROR(__xludf.DUMMYFUNCTION("""COMPUTED_VALUE"""),"KELOMPOK RISET")</f>
        <v>KELOMPOK RISET</v>
      </c>
      <c r="D7" s="978"/>
      <c r="E7" s="979" t="s">
        <v>942</v>
      </c>
      <c r="F7" s="977" t="str">
        <f>IFERROR(__xludf.DUMMYFUNCTION("""COMPUTED_VALUE"""),"SATUAN")</f>
        <v>SATUAN</v>
      </c>
      <c r="G7" s="980" t="str">
        <f>IFERROR(__xludf.DUMMYFUNCTION("""COMPUTED_VALUE"""),"CAPAIAN")</f>
        <v>CAPAIAN</v>
      </c>
      <c r="H7" s="980" t="str">
        <f>IFERROR(__xludf.DUMMYFUNCTION("""COMPUTED_VALUE"""),"% CAPAIAN")</f>
        <v>% CAPAIAN</v>
      </c>
      <c r="I7" s="981" t="str">
        <f>IFERROR(__xludf.DUMMYFUNCTION("""COMPUTED_VALUE"""),"SATUAN")</f>
        <v>SATUAN</v>
      </c>
      <c r="J7" s="982"/>
      <c r="K7" s="982"/>
      <c r="L7" s="983"/>
      <c r="M7" s="798"/>
      <c r="N7" s="798"/>
      <c r="O7" s="798"/>
      <c r="P7" s="798"/>
      <c r="Q7" s="798"/>
      <c r="R7" s="798"/>
      <c r="S7" s="798"/>
      <c r="T7" s="798"/>
      <c r="U7" s="798"/>
      <c r="V7" s="798"/>
      <c r="W7" s="798"/>
      <c r="X7" s="798"/>
      <c r="Y7" s="798"/>
      <c r="Z7" s="798"/>
      <c r="AA7" s="798"/>
      <c r="AB7" s="798"/>
      <c r="AC7" s="798"/>
      <c r="AD7" s="798"/>
    </row>
    <row r="8">
      <c r="A8" s="798"/>
      <c r="B8" s="984">
        <f>IFERROR(__xludf.DUMMYFUNCTION("""COMPUTED_VALUE"""),1.0)</f>
        <v>1</v>
      </c>
      <c r="C8" s="985" t="str">
        <f>IFERROR(__xludf.DUMMYFUNCTION("""COMPUTED_VALUE"""),"Temu Kembali Informasi (Information Retrieval) ")</f>
        <v>Temu Kembali Informasi (Information Retrieval) </v>
      </c>
      <c r="D8" s="986" t="str">
        <f>IFERROR(__xludf.DUMMYFUNCTION("""COMPUTED_VALUE"""),"Temu Kembali Informasi (Information Retrieval) ")</f>
        <v>Temu Kembali Informasi (Information Retrieval) </v>
      </c>
      <c r="E8" s="987"/>
      <c r="F8" s="988" t="str">
        <f>IFERROR(__xludf.DUMMYFUNCTION("""COMPUTED_VALUE"""),"Purwarupa")</f>
        <v>Purwarupa</v>
      </c>
      <c r="G8" s="989">
        <f>IFERROR(__xludf.DUMMYFUNCTION("""COMPUTED_VALUE"""),0.0)</f>
        <v>0</v>
      </c>
      <c r="H8" s="990" t="str">
        <f>IFERROR(__xludf.DUMMYFUNCTION("""COMPUTED_VALUE"""),"#DIV/0!")</f>
        <v>#DIV/0!</v>
      </c>
      <c r="I8" s="991" t="str">
        <f>IFERROR(__xludf.DUMMYFUNCTION("""COMPUTED_VALUE"""),"Purwarupa")</f>
        <v>Purwarupa</v>
      </c>
      <c r="J8" s="992" t="str">
        <f>IFERROR(__xludf.DUMMYFUNCTION("""COMPUTED_VALUE"""),"#DIV/0!")</f>
        <v>#DIV/0!</v>
      </c>
      <c r="K8" s="819" t="str">
        <f>IFERROR(__xludf.DUMMYFUNCTION("""COMPUTED_VALUE"""),"HARDWARE PROTOTYPE")</f>
        <v>HARDWARE PROTOTYPE</v>
      </c>
      <c r="L8" s="820"/>
      <c r="M8" s="819" t="str">
        <f>IFERROR(__xludf.DUMMYFUNCTION("""COMPUTED_VALUE"""),"SOFTWARE PROTOTYPE")</f>
        <v>SOFTWARE PROTOTYPE</v>
      </c>
      <c r="N8" s="820"/>
      <c r="O8" s="819" t="str">
        <f>IFERROR(__xludf.DUMMYFUNCTION("""COMPUTED_VALUE"""),"DESAIN PROTOTYPE")</f>
        <v>DESAIN PROTOTYPE</v>
      </c>
      <c r="P8" s="820"/>
      <c r="Q8" s="828"/>
      <c r="R8" s="828"/>
      <c r="S8" s="798"/>
      <c r="T8" s="798"/>
      <c r="U8" s="798"/>
      <c r="V8" s="798"/>
      <c r="W8" s="798"/>
      <c r="X8" s="798"/>
      <c r="Y8" s="798"/>
      <c r="Z8" s="798"/>
      <c r="AA8" s="798"/>
      <c r="AB8" s="798"/>
      <c r="AC8" s="798"/>
      <c r="AD8" s="798"/>
    </row>
    <row r="9">
      <c r="A9" s="798"/>
      <c r="B9" s="823"/>
      <c r="C9" s="823"/>
      <c r="D9" s="986" t="str">
        <f>IFERROR(__xludf.DUMMYFUNCTION("""COMPUTED_VALUE"""),"Temu Kembali Informasi (Information Retrieval) ")</f>
        <v>Temu Kembali Informasi (Information Retrieval) </v>
      </c>
      <c r="E9" s="823"/>
      <c r="F9" s="823"/>
      <c r="G9" s="823"/>
      <c r="H9" s="823"/>
      <c r="I9" s="823"/>
      <c r="J9" s="825"/>
      <c r="K9" s="827" t="str">
        <f>IFERROR(__xludf.DUMMYFUNCTION("""COMPUTED_VALUE"""),"Selesai")</f>
        <v>Selesai</v>
      </c>
      <c r="L9" s="827" t="str">
        <f>IFERROR(__xludf.DUMMYFUNCTION("""COMPUTED_VALUE"""),"Skala Uji Lab")</f>
        <v>Skala Uji Lab</v>
      </c>
      <c r="M9" s="827" t="str">
        <f>IFERROR(__xludf.DUMMYFUNCTION("""COMPUTED_VALUE"""),"Selesai")</f>
        <v>Selesai</v>
      </c>
      <c r="N9" s="827" t="str">
        <f>IFERROR(__xludf.DUMMYFUNCTION("""COMPUTED_VALUE"""),"Skala Uji Lab")</f>
        <v>Skala Uji Lab</v>
      </c>
      <c r="O9" s="827" t="str">
        <f>IFERROR(__xludf.DUMMYFUNCTION("""COMPUTED_VALUE"""),"Selesai")</f>
        <v>Selesai</v>
      </c>
      <c r="P9" s="827" t="str">
        <f>IFERROR(__xludf.DUMMYFUNCTION("""COMPUTED_VALUE"""),"Skala Uji Lab")</f>
        <v>Skala Uji Lab</v>
      </c>
      <c r="Q9" s="828"/>
      <c r="R9" s="828"/>
      <c r="S9" s="798"/>
      <c r="T9" s="798"/>
      <c r="U9" s="798"/>
      <c r="V9" s="798"/>
      <c r="W9" s="798"/>
      <c r="X9" s="798"/>
      <c r="Y9" s="798"/>
      <c r="Z9" s="798"/>
      <c r="AA9" s="798"/>
      <c r="AB9" s="798"/>
      <c r="AC9" s="798"/>
      <c r="AD9" s="798"/>
    </row>
    <row r="10">
      <c r="A10" s="798"/>
      <c r="B10" s="823"/>
      <c r="C10" s="823"/>
      <c r="D10" s="986" t="str">
        <f>IFERROR(__xludf.DUMMYFUNCTION("""COMPUTED_VALUE"""),"Temu Kembali Informasi (Information Retrieval) ")</f>
        <v>Temu Kembali Informasi (Information Retrieval) </v>
      </c>
      <c r="E10" s="400"/>
      <c r="F10" s="400"/>
      <c r="G10" s="400"/>
      <c r="H10" s="400"/>
      <c r="I10" s="400"/>
      <c r="J10" s="825"/>
      <c r="K10" s="830">
        <f>IFERROR(__xludf.DUMMYFUNCTION("""COMPUTED_VALUE"""),0.0)</f>
        <v>0</v>
      </c>
      <c r="L10" s="830">
        <f>IFERROR(__xludf.DUMMYFUNCTION("""COMPUTED_VALUE"""),0.0)</f>
        <v>0</v>
      </c>
      <c r="M10" s="830">
        <f>IFERROR(__xludf.DUMMYFUNCTION("""COMPUTED_VALUE"""),0.0)</f>
        <v>0</v>
      </c>
      <c r="N10" s="830">
        <f>IFERROR(__xludf.DUMMYFUNCTION("""COMPUTED_VALUE"""),0.0)</f>
        <v>0</v>
      </c>
      <c r="O10" s="830">
        <f>IFERROR(__xludf.DUMMYFUNCTION("""COMPUTED_VALUE"""),0.0)</f>
        <v>0</v>
      </c>
      <c r="P10" s="830">
        <f>IFERROR(__xludf.DUMMYFUNCTION("""COMPUTED_VALUE"""),0.0)</f>
        <v>0</v>
      </c>
      <c r="Q10" s="828"/>
      <c r="R10" s="828"/>
      <c r="S10" s="798"/>
      <c r="T10" s="798"/>
      <c r="U10" s="798"/>
      <c r="V10" s="798"/>
      <c r="W10" s="798"/>
      <c r="X10" s="798"/>
      <c r="Y10" s="798"/>
      <c r="Z10" s="798"/>
      <c r="AA10" s="798"/>
      <c r="AB10" s="798"/>
      <c r="AC10" s="798"/>
      <c r="AD10" s="798"/>
    </row>
    <row r="11">
      <c r="A11" s="993"/>
      <c r="B11" s="823"/>
      <c r="C11" s="823"/>
      <c r="D11" s="986" t="str">
        <f>IFERROR(__xludf.DUMMYFUNCTION("""COMPUTED_VALUE"""),"Temu Kembali Informasi (Information Retrieval) ")</f>
        <v>Temu Kembali Informasi (Information Retrieval) </v>
      </c>
      <c r="E11" s="987"/>
      <c r="F11" s="994" t="str">
        <f>IFERROR(__xludf.DUMMYFUNCTION("""COMPUTED_VALUE"""),"Publikasi Internasional")</f>
        <v>Publikasi Internasional</v>
      </c>
      <c r="G11" s="989">
        <f>IFERROR(__xludf.DUMMYFUNCTION("""COMPUTED_VALUE"""),4.0)</f>
        <v>4</v>
      </c>
      <c r="H11" s="990" t="str">
        <f>IFERROR(__xludf.DUMMYFUNCTION("""COMPUTED_VALUE"""),"#DIV/0!")</f>
        <v>#DIV/0!</v>
      </c>
      <c r="I11" s="991" t="str">
        <f>IFERROR(__xludf.DUMMYFUNCTION("""COMPUTED_VALUE"""),"Publikasi Internasional")</f>
        <v>Publikasi Internasional</v>
      </c>
      <c r="J11" s="825"/>
      <c r="K11" s="819" t="str">
        <f>IFERROR(__xludf.DUMMYFUNCTION("""COMPUTED_VALUE"""),"JURNAL")</f>
        <v>JURNAL</v>
      </c>
      <c r="L11" s="820"/>
      <c r="M11" s="837" t="str">
        <f>IFERROR(__xludf.DUMMYFUNCTION("""COMPUTED_VALUE"""),"PHROSIDING")</f>
        <v>PHROSIDING</v>
      </c>
      <c r="N11" s="820"/>
      <c r="O11" s="837" t="str">
        <f>IFERROR(__xludf.DUMMYFUNCTION("""COMPUTED_VALUE"""),"BUKU")</f>
        <v>BUKU</v>
      </c>
      <c r="P11" s="820"/>
      <c r="Q11" s="837" t="str">
        <f>IFERROR(__xludf.DUMMYFUNCTION("""COMPUTED_VALUE"""),"BAGIAN BUKU")</f>
        <v>BAGIAN BUKU</v>
      </c>
      <c r="R11" s="820"/>
      <c r="S11" s="798"/>
      <c r="T11" s="798"/>
      <c r="U11" s="798"/>
      <c r="V11" s="798"/>
      <c r="W11" s="798"/>
      <c r="X11" s="798"/>
      <c r="Y11" s="798"/>
      <c r="Z11" s="798"/>
      <c r="AA11" s="798"/>
      <c r="AB11" s="798"/>
      <c r="AC11" s="798"/>
      <c r="AD11" s="798"/>
    </row>
    <row r="12">
      <c r="A12" s="993"/>
      <c r="B12" s="823"/>
      <c r="C12" s="823"/>
      <c r="D12" s="986" t="str">
        <f>IFERROR(__xludf.DUMMYFUNCTION("""COMPUTED_VALUE"""),"Temu Kembali Informasi (Information Retrieval) ")</f>
        <v>Temu Kembali Informasi (Information Retrieval) </v>
      </c>
      <c r="E12" s="823"/>
      <c r="F12" s="823"/>
      <c r="G12" s="823"/>
      <c r="H12" s="823"/>
      <c r="I12" s="823"/>
      <c r="J12" s="825"/>
      <c r="K12" s="827" t="str">
        <f>IFERROR(__xludf.DUMMYFUNCTION("""COMPUTED_VALUE"""),"Published")</f>
        <v>Published</v>
      </c>
      <c r="L12" s="827" t="str">
        <f>IFERROR(__xludf.DUMMYFUNCTION("""COMPUTED_VALUE"""),"Accepted")</f>
        <v>Accepted</v>
      </c>
      <c r="M12" s="838" t="str">
        <f>IFERROR(__xludf.DUMMYFUNCTION("""COMPUTED_VALUE"""),"Published")</f>
        <v>Published</v>
      </c>
      <c r="N12" s="838" t="str">
        <f>IFERROR(__xludf.DUMMYFUNCTION("""COMPUTED_VALUE"""),"Accepted")</f>
        <v>Accepted</v>
      </c>
      <c r="O12" s="838" t="str">
        <f>IFERROR(__xludf.DUMMYFUNCTION("""COMPUTED_VALUE"""),"Published")</f>
        <v>Published</v>
      </c>
      <c r="P12" s="838" t="str">
        <f>IFERROR(__xludf.DUMMYFUNCTION("""COMPUTED_VALUE"""),"Accepted")</f>
        <v>Accepted</v>
      </c>
      <c r="Q12" s="838" t="str">
        <f>IFERROR(__xludf.DUMMYFUNCTION("""COMPUTED_VALUE"""),"Published")</f>
        <v>Published</v>
      </c>
      <c r="R12" s="838" t="str">
        <f>IFERROR(__xludf.DUMMYFUNCTION("""COMPUTED_VALUE"""),"Accepted")</f>
        <v>Accepted</v>
      </c>
      <c r="S12" s="798"/>
      <c r="T12" s="798"/>
      <c r="U12" s="798"/>
      <c r="V12" s="798"/>
      <c r="W12" s="798"/>
      <c r="X12" s="798"/>
      <c r="Y12" s="798"/>
      <c r="Z12" s="798"/>
      <c r="AA12" s="798"/>
      <c r="AB12" s="798"/>
      <c r="AC12" s="798"/>
      <c r="AD12" s="798"/>
    </row>
    <row r="13">
      <c r="A13" s="993"/>
      <c r="B13" s="823"/>
      <c r="C13" s="823"/>
      <c r="D13" s="986" t="str">
        <f>IFERROR(__xludf.DUMMYFUNCTION("""COMPUTED_VALUE"""),"Temu Kembali Informasi (Information Retrieval) ")</f>
        <v>Temu Kembali Informasi (Information Retrieval) </v>
      </c>
      <c r="E13" s="400"/>
      <c r="F13" s="400"/>
      <c r="G13" s="400"/>
      <c r="H13" s="400"/>
      <c r="I13" s="400"/>
      <c r="J13" s="825"/>
      <c r="K13" s="840">
        <f>IFERROR(__xludf.DUMMYFUNCTION("""COMPUTED_VALUE"""),4.0)</f>
        <v>4</v>
      </c>
      <c r="L13" s="841">
        <f>IFERROR(__xludf.DUMMYFUNCTION("""COMPUTED_VALUE"""),0.0)</f>
        <v>0</v>
      </c>
      <c r="M13" s="840">
        <f>IFERROR(__xludf.DUMMYFUNCTION("""COMPUTED_VALUE"""),0.0)</f>
        <v>0</v>
      </c>
      <c r="N13" s="841">
        <f>IFERROR(__xludf.DUMMYFUNCTION("""COMPUTED_VALUE"""),0.0)</f>
        <v>0</v>
      </c>
      <c r="O13" s="840">
        <f>IFERROR(__xludf.DUMMYFUNCTION("""COMPUTED_VALUE"""),0.0)</f>
        <v>0</v>
      </c>
      <c r="P13" s="841">
        <f>IFERROR(__xludf.DUMMYFUNCTION("""COMPUTED_VALUE"""),0.0)</f>
        <v>0</v>
      </c>
      <c r="Q13" s="840">
        <f>IFERROR(__xludf.DUMMYFUNCTION("""COMPUTED_VALUE"""),0.0)</f>
        <v>0</v>
      </c>
      <c r="R13" s="841">
        <f>IFERROR(__xludf.DUMMYFUNCTION("""COMPUTED_VALUE"""),0.0)</f>
        <v>0</v>
      </c>
      <c r="S13" s="798"/>
      <c r="T13" s="798"/>
      <c r="U13" s="798"/>
      <c r="V13" s="798"/>
      <c r="W13" s="798"/>
      <c r="X13" s="798"/>
      <c r="Y13" s="798"/>
      <c r="Z13" s="798"/>
      <c r="AA13" s="798"/>
      <c r="AB13" s="798"/>
      <c r="AC13" s="798"/>
      <c r="AD13" s="798"/>
    </row>
    <row r="14">
      <c r="A14" s="993"/>
      <c r="B14" s="823"/>
      <c r="C14" s="823"/>
      <c r="D14" s="986" t="str">
        <f>IFERROR(__xludf.DUMMYFUNCTION("""COMPUTED_VALUE"""),"Temu Kembali Informasi (Information Retrieval) ")</f>
        <v>Temu Kembali Informasi (Information Retrieval) </v>
      </c>
      <c r="E14" s="987"/>
      <c r="F14" s="994" t="str">
        <f>IFERROR(__xludf.DUMMYFUNCTION("""COMPUTED_VALUE"""),"Kekayaan Intelektual")</f>
        <v>Kekayaan Intelektual</v>
      </c>
      <c r="G14" s="989">
        <f>IFERROR(__xludf.DUMMYFUNCTION("""COMPUTED_VALUE"""),2.0)</f>
        <v>2</v>
      </c>
      <c r="H14" s="990" t="str">
        <f>IFERROR(__xludf.DUMMYFUNCTION("""COMPUTED_VALUE"""),"#DIV/0!")</f>
        <v>#DIV/0!</v>
      </c>
      <c r="I14" s="991" t="str">
        <f>IFERROR(__xludf.DUMMYFUNCTION("""COMPUTED_VALUE"""),"Kekayaan Intelektual")</f>
        <v>Kekayaan Intelektual</v>
      </c>
      <c r="J14" s="825"/>
      <c r="K14" s="843" t="str">
        <f>IFERROR(__xludf.DUMMYFUNCTION("""COMPUTED_VALUE"""),"PATEN")</f>
        <v>PATEN</v>
      </c>
      <c r="L14" s="829"/>
      <c r="M14" s="843" t="str">
        <f>IFERROR(__xludf.DUMMYFUNCTION("""COMPUTED_VALUE"""),"HAK CIPTA")</f>
        <v>HAK CIPTA</v>
      </c>
      <c r="N14" s="829"/>
      <c r="O14" s="843" t="str">
        <f>IFERROR(__xludf.DUMMYFUNCTION("""COMPUTED_VALUE"""),"DESAIN INDUSTRI")</f>
        <v>DESAIN INDUSTRI</v>
      </c>
      <c r="P14" s="829"/>
      <c r="Q14" s="995"/>
      <c r="S14" s="798"/>
      <c r="T14" s="798"/>
      <c r="U14" s="798"/>
      <c r="V14" s="798"/>
      <c r="W14" s="798"/>
      <c r="X14" s="798"/>
      <c r="Y14" s="798"/>
      <c r="Z14" s="798"/>
      <c r="AA14" s="798"/>
      <c r="AB14" s="798"/>
      <c r="AC14" s="798"/>
      <c r="AD14" s="798"/>
    </row>
    <row r="15">
      <c r="A15" s="993"/>
      <c r="B15" s="823"/>
      <c r="C15" s="823"/>
      <c r="D15" s="986" t="str">
        <f>IFERROR(__xludf.DUMMYFUNCTION("""COMPUTED_VALUE"""),"Temu Kembali Informasi (Information Retrieval) ")</f>
        <v>Temu Kembali Informasi (Information Retrieval) </v>
      </c>
      <c r="E15" s="823"/>
      <c r="F15" s="823"/>
      <c r="G15" s="823"/>
      <c r="H15" s="823"/>
      <c r="I15" s="823"/>
      <c r="J15" s="825"/>
      <c r="K15" s="845" t="str">
        <f>IFERROR(__xludf.DUMMYFUNCTION("""COMPUTED_VALUE"""),"Terdaftar DJKI")</f>
        <v>Terdaftar DJKI</v>
      </c>
      <c r="L15" s="845" t="str">
        <f>IFERROR(__xludf.DUMMYFUNCTION("""COMPUTED_VALUE"""),"Tersertifikasi")</f>
        <v>Tersertifikasi</v>
      </c>
      <c r="M15" s="845" t="str">
        <f>IFERROR(__xludf.DUMMYFUNCTION("""COMPUTED_VALUE"""),"Terdaftar DJKI")</f>
        <v>Terdaftar DJKI</v>
      </c>
      <c r="N15" s="845" t="str">
        <f>IFERROR(__xludf.DUMMYFUNCTION("""COMPUTED_VALUE"""),"Tersertifikasi")</f>
        <v>Tersertifikasi</v>
      </c>
      <c r="O15" s="845" t="str">
        <f>IFERROR(__xludf.DUMMYFUNCTION("""COMPUTED_VALUE"""),"Terdaftar DJKI")</f>
        <v>Terdaftar DJKI</v>
      </c>
      <c r="P15" s="845" t="str">
        <f>IFERROR(__xludf.DUMMYFUNCTION("""COMPUTED_VALUE"""),"Tersertifikasi")</f>
        <v>Tersertifikasi</v>
      </c>
      <c r="Q15" s="842"/>
      <c r="R15" s="842"/>
      <c r="S15" s="798"/>
      <c r="T15" s="798"/>
      <c r="U15" s="798"/>
      <c r="V15" s="798"/>
      <c r="W15" s="798"/>
      <c r="X15" s="798"/>
      <c r="Y15" s="798"/>
      <c r="Z15" s="798"/>
      <c r="AA15" s="798"/>
      <c r="AB15" s="798"/>
      <c r="AC15" s="798"/>
      <c r="AD15" s="798"/>
    </row>
    <row r="16">
      <c r="A16" s="993"/>
      <c r="B16" s="823"/>
      <c r="C16" s="823"/>
      <c r="D16" s="986" t="str">
        <f>IFERROR(__xludf.DUMMYFUNCTION("""COMPUTED_VALUE"""),"Temu Kembali Informasi (Information Retrieval) ")</f>
        <v>Temu Kembali Informasi (Information Retrieval) </v>
      </c>
      <c r="E16" s="400"/>
      <c r="F16" s="400"/>
      <c r="G16" s="400"/>
      <c r="H16" s="400"/>
      <c r="I16" s="400"/>
      <c r="J16" s="825"/>
      <c r="K16" s="830">
        <f>IFERROR(__xludf.DUMMYFUNCTION("""COMPUTED_VALUE"""),0.0)</f>
        <v>0</v>
      </c>
      <c r="L16" s="830">
        <f>IFERROR(__xludf.DUMMYFUNCTION("""COMPUTED_VALUE"""),0.0)</f>
        <v>0</v>
      </c>
      <c r="M16" s="830">
        <f>IFERROR(__xludf.DUMMYFUNCTION("""COMPUTED_VALUE"""),2.0)</f>
        <v>2</v>
      </c>
      <c r="N16" s="830">
        <f>IFERROR(__xludf.DUMMYFUNCTION("""COMPUTED_VALUE"""),0.0)</f>
        <v>0</v>
      </c>
      <c r="O16" s="830">
        <f>IFERROR(__xludf.DUMMYFUNCTION("""COMPUTED_VALUE"""),0.0)</f>
        <v>0</v>
      </c>
      <c r="P16" s="830">
        <f>IFERROR(__xludf.DUMMYFUNCTION("""COMPUTED_VALUE"""),0.0)</f>
        <v>0</v>
      </c>
      <c r="Q16" s="842"/>
      <c r="R16" s="842"/>
      <c r="S16" s="798"/>
      <c r="T16" s="798"/>
      <c r="U16" s="798"/>
      <c r="V16" s="798"/>
      <c r="W16" s="798"/>
      <c r="X16" s="798"/>
      <c r="Y16" s="798"/>
      <c r="Z16" s="798"/>
      <c r="AA16" s="798"/>
      <c r="AB16" s="798"/>
      <c r="AC16" s="798"/>
      <c r="AD16" s="798"/>
    </row>
    <row r="17">
      <c r="A17" s="993"/>
      <c r="B17" s="823"/>
      <c r="C17" s="823"/>
      <c r="D17" s="986" t="str">
        <f>IFERROR(__xludf.DUMMYFUNCTION("""COMPUTED_VALUE"""),"Temu Kembali Informasi (Information Retrieval) ")</f>
        <v>Temu Kembali Informasi (Information Retrieval) </v>
      </c>
      <c r="E17" s="987"/>
      <c r="F17" s="994" t="str">
        <f>IFERROR(__xludf.DUMMYFUNCTION("""COMPUTED_VALUE"""),"SDM Iptek")</f>
        <v>SDM Iptek</v>
      </c>
      <c r="G17" s="989">
        <f>IFERROR(__xludf.DUMMYFUNCTION("""COMPUTED_VALUE"""),1.0)</f>
        <v>1</v>
      </c>
      <c r="H17" s="990" t="str">
        <f>IFERROR(__xludf.DUMMYFUNCTION("""COMPUTED_VALUE"""),"#DIV/0!")</f>
        <v>#DIV/0!</v>
      </c>
      <c r="I17" s="991" t="str">
        <f>IFERROR(__xludf.DUMMYFUNCTION("""COMPUTED_VALUE"""),"SDM Iptek")</f>
        <v>SDM Iptek</v>
      </c>
      <c r="J17" s="825"/>
      <c r="K17" s="849" t="str">
        <f>IFERROR(__xludf.DUMMYFUNCTION("""COMPUTED_VALUE"""),"S2")</f>
        <v>S2</v>
      </c>
      <c r="L17" s="849" t="str">
        <f>IFERROR(__xludf.DUMMYFUNCTION("""COMPUTED_VALUE"""),"S3")</f>
        <v>S3</v>
      </c>
      <c r="M17" s="857" t="str">
        <f>IFERROR(__xludf.DUMMYFUNCTION("""COMPUTED_VALUE"""),"IJIN BELAJAR")</f>
        <v>IJIN BELAJAR</v>
      </c>
      <c r="N17" s="912" t="str">
        <f>IFERROR(__xludf.DUMMYFUNCTION("""COMPUTED_VALUE"""),"TUGAS BELAJAR")</f>
        <v>TUGAS BELAJAR</v>
      </c>
      <c r="O17" s="996"/>
      <c r="P17" s="996"/>
      <c r="Q17" s="996"/>
      <c r="R17" s="996"/>
      <c r="S17" s="798"/>
      <c r="T17" s="798"/>
      <c r="U17" s="798"/>
      <c r="V17" s="798"/>
      <c r="W17" s="798"/>
      <c r="X17" s="798"/>
      <c r="Y17" s="798"/>
      <c r="Z17" s="798"/>
      <c r="AA17" s="798"/>
      <c r="AB17" s="798"/>
      <c r="AC17" s="798"/>
      <c r="AD17" s="798"/>
    </row>
    <row r="18">
      <c r="A18" s="993"/>
      <c r="B18" s="823"/>
      <c r="C18" s="823"/>
      <c r="D18" s="986" t="str">
        <f>IFERROR(__xludf.DUMMYFUNCTION("""COMPUTED_VALUE"""),"Temu Kembali Informasi (Information Retrieval) ")</f>
        <v>Temu Kembali Informasi (Information Retrieval) </v>
      </c>
      <c r="E18" s="400"/>
      <c r="F18" s="400"/>
      <c r="G18" s="400"/>
      <c r="H18" s="400"/>
      <c r="I18" s="400"/>
      <c r="J18" s="825"/>
      <c r="K18" s="830">
        <f>IFERROR(__xludf.DUMMYFUNCTION("""COMPUTED_VALUE"""),1.0)</f>
        <v>1</v>
      </c>
      <c r="L18" s="830">
        <f>IFERROR(__xludf.DUMMYFUNCTION("""COMPUTED_VALUE"""),0.0)</f>
        <v>0</v>
      </c>
      <c r="M18" s="830">
        <f>IFERROR(__xludf.DUMMYFUNCTION("""COMPUTED_VALUE"""),0.0)</f>
        <v>0</v>
      </c>
      <c r="N18" s="830">
        <f>IFERROR(__xludf.DUMMYFUNCTION("""COMPUTED_VALUE"""),1.0)</f>
        <v>1</v>
      </c>
      <c r="O18" s="996"/>
      <c r="P18" s="996"/>
      <c r="Q18" s="996"/>
      <c r="R18" s="996"/>
      <c r="S18" s="798"/>
      <c r="T18" s="798"/>
      <c r="U18" s="798"/>
      <c r="V18" s="798"/>
      <c r="W18" s="798"/>
      <c r="X18" s="798"/>
      <c r="Y18" s="798"/>
      <c r="Z18" s="798"/>
      <c r="AA18" s="798"/>
      <c r="AB18" s="798"/>
      <c r="AC18" s="798"/>
      <c r="AD18" s="798"/>
    </row>
    <row r="19">
      <c r="A19" s="993"/>
      <c r="B19" s="823"/>
      <c r="C19" s="823"/>
      <c r="D19" s="986" t="str">
        <f>IFERROR(__xludf.DUMMYFUNCTION("""COMPUTED_VALUE"""),"Temu Kembali Informasi (Information Retrieval) ")</f>
        <v>Temu Kembali Informasi (Information Retrieval) </v>
      </c>
      <c r="E19" s="987"/>
      <c r="F19" s="994" t="str">
        <f>IFERROR(__xludf.DUMMYFUNCTION("""COMPUTED_VALUE"""),"Peserta Postdoc/Visiting Research")</f>
        <v>Peserta Postdoc/Visiting Research</v>
      </c>
      <c r="G19" s="989">
        <f>IFERROR(__xludf.DUMMYFUNCTION("""COMPUTED_VALUE"""),2.0)</f>
        <v>2</v>
      </c>
      <c r="H19" s="990" t="str">
        <f>IFERROR(__xludf.DUMMYFUNCTION("""COMPUTED_VALUE"""),"#DIV/0!")</f>
        <v>#DIV/0!</v>
      </c>
      <c r="I19" s="991" t="str">
        <f>IFERROR(__xludf.DUMMYFUNCTION("""COMPUTED_VALUE"""),"Peserta Postdoc/Visiting Research")</f>
        <v>Peserta Postdoc/Visiting Research</v>
      </c>
      <c r="J19" s="825"/>
      <c r="K19" s="843" t="str">
        <f>IFERROR(__xludf.DUMMYFUNCTION("""COMPUTED_VALUE"""),"POSTDOCTORAL")</f>
        <v>POSTDOCTORAL</v>
      </c>
      <c r="L19" s="829"/>
      <c r="M19" s="843" t="str">
        <f>IFERROR(__xludf.DUMMYFUNCTION("""COMPUTED_VALUE"""),"VISITING RESEARCH")</f>
        <v>VISITING RESEARCH</v>
      </c>
      <c r="N19" s="829"/>
      <c r="O19" s="860" t="str">
        <f>IFERROR(__xludf.DUMMYFUNCTION("""COMPUTED_VALUE"""),"PUBLIKASI")</f>
        <v>PUBLIKASI</v>
      </c>
      <c r="P19" s="820"/>
      <c r="Q19" s="996"/>
      <c r="R19" s="996"/>
      <c r="S19" s="798"/>
      <c r="T19" s="798"/>
      <c r="U19" s="798"/>
      <c r="V19" s="798"/>
      <c r="W19" s="798"/>
      <c r="X19" s="798"/>
      <c r="Y19" s="798"/>
      <c r="Z19" s="798"/>
      <c r="AA19" s="798"/>
      <c r="AB19" s="798"/>
      <c r="AC19" s="798"/>
      <c r="AD19" s="798"/>
    </row>
    <row r="20">
      <c r="A20" s="993"/>
      <c r="B20" s="823"/>
      <c r="C20" s="823"/>
      <c r="D20" s="986" t="str">
        <f>IFERROR(__xludf.DUMMYFUNCTION("""COMPUTED_VALUE"""),"Temu Kembali Informasi (Information Retrieval) ")</f>
        <v>Temu Kembali Informasi (Information Retrieval) </v>
      </c>
      <c r="E20" s="823"/>
      <c r="F20" s="823"/>
      <c r="G20" s="823"/>
      <c r="H20" s="823"/>
      <c r="I20" s="823"/>
      <c r="J20" s="825"/>
      <c r="K20" s="827" t="str">
        <f>IFERROR(__xludf.DUMMYFUNCTION("""COMPUTED_VALUE"""),"Dalam Negeri")</f>
        <v>Dalam Negeri</v>
      </c>
      <c r="L20" s="827" t="str">
        <f>IFERROR(__xludf.DUMMYFUNCTION("""COMPUTED_VALUE"""),"Luar Negeri")</f>
        <v>Luar Negeri</v>
      </c>
      <c r="M20" s="827" t="str">
        <f>IFERROR(__xludf.DUMMYFUNCTION("""COMPUTED_VALUE"""),"Dalam Negeri")</f>
        <v>Dalam Negeri</v>
      </c>
      <c r="N20" s="827" t="str">
        <f>IFERROR(__xludf.DUMMYFUNCTION("""COMPUTED_VALUE"""),"Luar Negeri")</f>
        <v>Luar Negeri</v>
      </c>
      <c r="O20" s="861" t="str">
        <f>IFERROR(__xludf.DUMMYFUNCTION("""COMPUTED_VALUE"""),"Dalam Negeri")</f>
        <v>Dalam Negeri</v>
      </c>
      <c r="P20" s="861" t="str">
        <f>IFERROR(__xludf.DUMMYFUNCTION("""COMPUTED_VALUE"""),"Luar Negeri")</f>
        <v>Luar Negeri</v>
      </c>
      <c r="Q20" s="996"/>
      <c r="R20" s="996"/>
      <c r="S20" s="798"/>
      <c r="T20" s="798"/>
      <c r="U20" s="798"/>
      <c r="V20" s="798"/>
      <c r="W20" s="798"/>
      <c r="X20" s="798"/>
      <c r="Y20" s="798"/>
      <c r="Z20" s="798"/>
      <c r="AA20" s="798"/>
      <c r="AB20" s="798"/>
      <c r="AC20" s="798"/>
      <c r="AD20" s="798"/>
    </row>
    <row r="21" ht="15.75" customHeight="1">
      <c r="A21" s="993"/>
      <c r="B21" s="823"/>
      <c r="C21" s="823"/>
      <c r="D21" s="986" t="str">
        <f>IFERROR(__xludf.DUMMYFUNCTION("""COMPUTED_VALUE"""),"Temu Kembali Informasi (Information Retrieval) ")</f>
        <v>Temu Kembali Informasi (Information Retrieval) </v>
      </c>
      <c r="E21" s="400"/>
      <c r="F21" s="400"/>
      <c r="G21" s="400"/>
      <c r="H21" s="400"/>
      <c r="I21" s="400"/>
      <c r="J21" s="825"/>
      <c r="K21" s="916">
        <f>IFERROR(__xludf.DUMMYFUNCTION("""COMPUTED_VALUE"""),1.0)</f>
        <v>1</v>
      </c>
      <c r="L21" s="916">
        <f>IFERROR(__xludf.DUMMYFUNCTION("""COMPUTED_VALUE"""),0.0)</f>
        <v>0</v>
      </c>
      <c r="M21" s="916">
        <f>IFERROR(__xludf.DUMMYFUNCTION("""COMPUTED_VALUE"""),0.0)</f>
        <v>0</v>
      </c>
      <c r="N21" s="916">
        <f>IFERROR(__xludf.DUMMYFUNCTION("""COMPUTED_VALUE"""),1.0)</f>
        <v>1</v>
      </c>
      <c r="O21" s="916">
        <f>IFERROR(__xludf.DUMMYFUNCTION("""COMPUTED_VALUE"""),0.0)</f>
        <v>0</v>
      </c>
      <c r="P21" s="916">
        <f>IFERROR(__xludf.DUMMYFUNCTION("""COMPUTED_VALUE"""),0.0)</f>
        <v>0</v>
      </c>
      <c r="Q21" s="996"/>
      <c r="R21" s="996"/>
      <c r="S21" s="798"/>
      <c r="T21" s="798"/>
      <c r="U21" s="798"/>
      <c r="V21" s="798"/>
      <c r="W21" s="798"/>
      <c r="X21" s="798"/>
      <c r="Y21" s="798"/>
      <c r="Z21" s="798"/>
      <c r="AA21" s="798"/>
      <c r="AB21" s="798"/>
      <c r="AC21" s="798"/>
      <c r="AD21" s="798"/>
    </row>
    <row r="22" ht="15.75" customHeight="1">
      <c r="A22" s="993"/>
      <c r="B22" s="823"/>
      <c r="C22" s="823"/>
      <c r="D22" s="986" t="str">
        <f>IFERROR(__xludf.DUMMYFUNCTION("""COMPUTED_VALUE"""),"Temu Kembali Informasi (Information Retrieval) ")</f>
        <v>Temu Kembali Informasi (Information Retrieval) </v>
      </c>
      <c r="E22" s="997"/>
      <c r="F22" s="998" t="str">
        <f>IFERROR(__xludf.DUMMYFUNCTION("""COMPUTED_VALUE"""),"Kerjasama")</f>
        <v>Kerjasama</v>
      </c>
      <c r="G22" s="989">
        <f>IFERROR(__xludf.DUMMYFUNCTION("""COMPUTED_VALUE"""),0.0)</f>
        <v>0</v>
      </c>
      <c r="H22" s="990" t="str">
        <f>IFERROR(__xludf.DUMMYFUNCTION("""COMPUTED_VALUE"""),"#DIV/0!")</f>
        <v>#DIV/0!</v>
      </c>
      <c r="I22" s="991" t="str">
        <f>IFERROR(__xludf.DUMMYFUNCTION("""COMPUTED_VALUE"""),"Kerjasama")</f>
        <v>Kerjasama</v>
      </c>
      <c r="J22" s="825"/>
      <c r="K22" s="849" t="str">
        <f>IFERROR(__xludf.DUMMYFUNCTION("""COMPUTED_VALUE"""),"PNBP")</f>
        <v>PNBP</v>
      </c>
      <c r="L22" s="849" t="str">
        <f>IFERROR(__xludf.DUMMYFUNCTION("""COMPUTED_VALUE"""),"HIBAH")</f>
        <v>HIBAH</v>
      </c>
      <c r="M22" s="849" t="str">
        <f>IFERROR(__xludf.DUMMYFUNCTION("""COMPUTED_VALUE"""),"MITRA/UNV")</f>
        <v>MITRA/UNV</v>
      </c>
      <c r="N22" s="849" t="str">
        <f>IFERROR(__xludf.DUMMYFUNCTION("""COMPUTED_VALUE"""),"POSTDOC")</f>
        <v>POSTDOC</v>
      </c>
      <c r="O22" s="849" t="str">
        <f>IFERROR(__xludf.DUMMYFUNCTION("""COMPUTED_VALUE"""),"VISITING RSRCH")</f>
        <v>VISITING RSRCH</v>
      </c>
      <c r="P22" s="850" t="str">
        <f>IFERROR(__xludf.DUMMYFUNCTION("""COMPUTED_VALUE"""),"RIMM")</f>
        <v>RIMM</v>
      </c>
      <c r="Q22" s="849" t="str">
        <f>IFERROR(__xludf.DUMMYFUNCTION("""COMPUTED_VALUE"""),"LISENSI")</f>
        <v>LISENSI</v>
      </c>
      <c r="R22" s="851" t="str">
        <f>IFERROR(__xludf.DUMMYFUNCTION("""COMPUTED_VALUE"""),"DALAM NEGERI")</f>
        <v>DALAM NEGERI</v>
      </c>
      <c r="S22" s="851" t="str">
        <f>IFERROR(__xludf.DUMMYFUNCTION("""COMPUTED_VALUE"""),"LUAR NEGERI")</f>
        <v>LUAR NEGERI</v>
      </c>
      <c r="T22" s="798"/>
      <c r="U22" s="798"/>
      <c r="V22" s="798"/>
      <c r="W22" s="798"/>
      <c r="X22" s="798"/>
      <c r="Y22" s="798"/>
      <c r="Z22" s="798"/>
      <c r="AA22" s="798"/>
      <c r="AB22" s="798"/>
      <c r="AC22" s="798"/>
      <c r="AD22" s="798"/>
    </row>
    <row r="23" ht="15.75" customHeight="1">
      <c r="A23" s="993"/>
      <c r="B23" s="823"/>
      <c r="C23" s="823"/>
      <c r="D23" s="986" t="str">
        <f>IFERROR(__xludf.DUMMYFUNCTION("""COMPUTED_VALUE"""),"Temu Kembali Informasi (Information Retrieval) ")</f>
        <v>Temu Kembali Informasi (Information Retrieval) </v>
      </c>
      <c r="E23" s="400"/>
      <c r="F23" s="400"/>
      <c r="G23" s="400"/>
      <c r="H23" s="400"/>
      <c r="I23" s="400"/>
      <c r="J23" s="825"/>
      <c r="K23" s="830">
        <f>IFERROR(__xludf.DUMMYFUNCTION("""COMPUTED_VALUE"""),0.0)</f>
        <v>0</v>
      </c>
      <c r="L23" s="830">
        <f>IFERROR(__xludf.DUMMYFUNCTION("""COMPUTED_VALUE"""),0.0)</f>
        <v>0</v>
      </c>
      <c r="M23" s="830">
        <f>IFERROR(__xludf.DUMMYFUNCTION("""COMPUTED_VALUE"""),0.0)</f>
        <v>0</v>
      </c>
      <c r="N23" s="830">
        <f>IFERROR(__xludf.DUMMYFUNCTION("""COMPUTED_VALUE"""),0.0)</f>
        <v>0</v>
      </c>
      <c r="O23" s="830">
        <f>IFERROR(__xludf.DUMMYFUNCTION("""COMPUTED_VALUE"""),0.0)</f>
        <v>0</v>
      </c>
      <c r="P23" s="996">
        <f>IFERROR(__xludf.DUMMYFUNCTION("""COMPUTED_VALUE"""),0.0)</f>
        <v>0</v>
      </c>
      <c r="Q23" s="830">
        <f>IFERROR(__xludf.DUMMYFUNCTION("""COMPUTED_VALUE"""),0.0)</f>
        <v>0</v>
      </c>
      <c r="R23" s="830">
        <f>IFERROR(__xludf.DUMMYFUNCTION("""COMPUTED_VALUE"""),0.0)</f>
        <v>0</v>
      </c>
      <c r="S23" s="830">
        <f>IFERROR(__xludf.DUMMYFUNCTION("""COMPUTED_VALUE"""),0.0)</f>
        <v>0</v>
      </c>
      <c r="T23" s="798"/>
      <c r="U23" s="798"/>
      <c r="V23" s="798"/>
      <c r="W23" s="798"/>
      <c r="X23" s="798"/>
      <c r="Y23" s="798"/>
      <c r="Z23" s="798"/>
      <c r="AA23" s="798"/>
      <c r="AB23" s="798"/>
      <c r="AC23" s="798"/>
      <c r="AD23" s="798"/>
    </row>
    <row r="24" ht="15.75" customHeight="1">
      <c r="A24" s="993"/>
      <c r="B24" s="823"/>
      <c r="C24" s="823"/>
      <c r="D24" s="986" t="str">
        <f>IFERROR(__xludf.DUMMYFUNCTION("""COMPUTED_VALUE"""),"Temu Kembali Informasi (Information Retrieval) ")</f>
        <v>Temu Kembali Informasi (Information Retrieval) </v>
      </c>
      <c r="E24" s="997"/>
      <c r="F24" s="998" t="str">
        <f>IFERROR(__xludf.DUMMYFUNCTION("""COMPUTED_VALUE"""),"Dana Eksternal")</f>
        <v>Dana Eksternal</v>
      </c>
      <c r="G24" s="999">
        <f>IFERROR(__xludf.DUMMYFUNCTION("""COMPUTED_VALUE"""),7.6E7)</f>
        <v>76000000</v>
      </c>
      <c r="H24" s="990" t="str">
        <f>IFERROR(__xludf.DUMMYFUNCTION("""COMPUTED_VALUE"""),"#DIV/0!")</f>
        <v>#DIV/0!</v>
      </c>
      <c r="I24" s="991" t="str">
        <f>IFERROR(__xludf.DUMMYFUNCTION("""COMPUTED_VALUE"""),"Dana Eksternal")</f>
        <v>Dana Eksternal</v>
      </c>
      <c r="J24" s="825"/>
      <c r="K24" s="849" t="str">
        <f>IFERROR(__xludf.DUMMYFUNCTION("""COMPUTED_VALUE"""),"PNBP")</f>
        <v>PNBP</v>
      </c>
      <c r="L24" s="849" t="str">
        <f>IFERROR(__xludf.DUMMYFUNCTION("""COMPUTED_VALUE"""),"HIBAH")</f>
        <v>HIBAH</v>
      </c>
      <c r="M24" s="849" t="str">
        <f>IFERROR(__xludf.DUMMYFUNCTION("""COMPUTED_VALUE"""),"MITRA/UNV")</f>
        <v>MITRA/UNV</v>
      </c>
      <c r="N24" s="849" t="str">
        <f>IFERROR(__xludf.DUMMYFUNCTION("""COMPUTED_VALUE"""),"POSTDOC")</f>
        <v>POSTDOC</v>
      </c>
      <c r="O24" s="849" t="str">
        <f>IFERROR(__xludf.DUMMYFUNCTION("""COMPUTED_VALUE"""),"VISITING RSRCH")</f>
        <v>VISITING RSRCH</v>
      </c>
      <c r="P24" s="850" t="str">
        <f>IFERROR(__xludf.DUMMYFUNCTION("""COMPUTED_VALUE"""),"RIMM")</f>
        <v>RIMM</v>
      </c>
      <c r="Q24" s="850" t="str">
        <f>IFERROR(__xludf.DUMMYFUNCTION("""COMPUTED_VALUE"""),"LISENSI")</f>
        <v>LISENSI</v>
      </c>
      <c r="R24" s="851" t="str">
        <f>IFERROR(__xludf.DUMMYFUNCTION("""COMPUTED_VALUE"""),"DALAM NEGERI")</f>
        <v>DALAM NEGERI</v>
      </c>
      <c r="S24" s="851" t="str">
        <f>IFERROR(__xludf.DUMMYFUNCTION("""COMPUTED_VALUE"""),"LUAR NEGERI")</f>
        <v>LUAR NEGERI</v>
      </c>
      <c r="T24" s="852" t="str">
        <f>IFERROR(__xludf.DUMMYFUNCTION("""COMPUTED_VALUE"""),"IN CASH")</f>
        <v>IN CASH</v>
      </c>
      <c r="U24" s="852" t="str">
        <f>IFERROR(__xludf.DUMMYFUNCTION("""COMPUTED_VALUE"""),"IN KIND")</f>
        <v>IN KIND</v>
      </c>
      <c r="V24" s="798"/>
      <c r="W24" s="798"/>
      <c r="X24" s="798"/>
      <c r="Y24" s="798"/>
      <c r="Z24" s="798"/>
      <c r="AA24" s="798"/>
      <c r="AB24" s="798"/>
      <c r="AC24" s="798"/>
      <c r="AD24" s="798"/>
    </row>
    <row r="25" ht="15.75" customHeight="1">
      <c r="A25" s="993"/>
      <c r="B25" s="400"/>
      <c r="C25" s="400"/>
      <c r="D25" s="986" t="str">
        <f>IFERROR(__xludf.DUMMYFUNCTION("""COMPUTED_VALUE"""),"Temu Kembali Informasi (Information Retrieval) ")</f>
        <v>Temu Kembali Informasi (Information Retrieval) </v>
      </c>
      <c r="E25" s="400"/>
      <c r="F25" s="400"/>
      <c r="G25" s="400"/>
      <c r="H25" s="400"/>
      <c r="I25" s="400"/>
      <c r="J25" s="829"/>
      <c r="K25" s="853">
        <f>IFERROR(__xludf.DUMMYFUNCTION("""COMPUTED_VALUE"""),0.0)</f>
        <v>0</v>
      </c>
      <c r="L25" s="853">
        <f>IFERROR(__xludf.DUMMYFUNCTION("""COMPUTED_VALUE"""),0.0)</f>
        <v>0</v>
      </c>
      <c r="M25" s="853">
        <f>IFERROR(__xludf.DUMMYFUNCTION("""COMPUTED_VALUE"""),0.0)</f>
        <v>0</v>
      </c>
      <c r="N25" s="853">
        <f>IFERROR(__xludf.DUMMYFUNCTION("""COMPUTED_VALUE"""),0.0)</f>
        <v>0</v>
      </c>
      <c r="O25" s="853">
        <f>IFERROR(__xludf.DUMMYFUNCTION("""COMPUTED_VALUE"""),0.0)</f>
        <v>0</v>
      </c>
      <c r="P25" s="853">
        <f>IFERROR(__xludf.DUMMYFUNCTION("""COMPUTED_VALUE"""),7.6E7)</f>
        <v>76000000</v>
      </c>
      <c r="Q25" s="853">
        <f>IFERROR(__xludf.DUMMYFUNCTION("""COMPUTED_VALUE"""),0.0)</f>
        <v>0</v>
      </c>
      <c r="R25" s="853">
        <f>IFERROR(__xludf.DUMMYFUNCTION("""COMPUTED_VALUE"""),7.6E7)</f>
        <v>76000000</v>
      </c>
      <c r="S25" s="853">
        <f>IFERROR(__xludf.DUMMYFUNCTION("""COMPUTED_VALUE"""),0.0)</f>
        <v>0</v>
      </c>
      <c r="T25" s="853">
        <f>IFERROR(__xludf.DUMMYFUNCTION("""COMPUTED_VALUE"""),7.6E7)</f>
        <v>76000000</v>
      </c>
      <c r="U25" s="853">
        <f>IFERROR(__xludf.DUMMYFUNCTION("""COMPUTED_VALUE"""),0.0)</f>
        <v>0</v>
      </c>
      <c r="V25" s="798"/>
      <c r="W25" s="798"/>
      <c r="X25" s="798"/>
      <c r="Y25" s="798"/>
      <c r="Z25" s="798"/>
      <c r="AA25" s="798"/>
      <c r="AB25" s="798"/>
      <c r="AC25" s="798"/>
      <c r="AD25" s="798"/>
    </row>
    <row r="26" ht="15.75" customHeight="1">
      <c r="A26" s="798"/>
      <c r="B26" s="1000"/>
      <c r="C26" s="1001"/>
      <c r="D26" s="1002"/>
      <c r="E26" s="1003"/>
      <c r="F26" s="1004"/>
      <c r="G26" s="1005"/>
      <c r="H26" s="1006"/>
      <c r="I26" s="1007"/>
      <c r="J26" s="1008"/>
      <c r="K26" s="1008"/>
      <c r="L26" s="1008"/>
      <c r="M26" s="996"/>
      <c r="N26" s="996"/>
      <c r="O26" s="996"/>
      <c r="P26" s="996"/>
      <c r="Q26" s="996"/>
      <c r="R26" s="996"/>
      <c r="S26" s="798"/>
      <c r="T26" s="798"/>
      <c r="U26" s="798"/>
      <c r="V26" s="798"/>
      <c r="W26" s="798"/>
      <c r="X26" s="798"/>
      <c r="Y26" s="798"/>
      <c r="Z26" s="798"/>
      <c r="AA26" s="798"/>
      <c r="AB26" s="798"/>
      <c r="AC26" s="798"/>
      <c r="AD26" s="798"/>
    </row>
    <row r="27" ht="15.75" customHeight="1">
      <c r="A27" s="798"/>
      <c r="B27" s="984">
        <f>IFERROR(__xludf.DUMMYFUNCTION("""COMPUTED_VALUE"""),2.0)</f>
        <v>2</v>
      </c>
      <c r="C27" s="985" t="str">
        <f>IFERROR(__xludf.DUMMYFUNCTION("""COMPUTED_VALUE"""),"Rekayasa Pengetahuan dan Data (Knowledge and Data Engineering)")</f>
        <v>Rekayasa Pengetahuan dan Data (Knowledge and Data Engineering)</v>
      </c>
      <c r="D27" s="986" t="str">
        <f>IFERROR(__xludf.DUMMYFUNCTION("""COMPUTED_VALUE"""),"Rekayasa Pengetahuan dan Data (Knowledge and Data Engineering)")</f>
        <v>Rekayasa Pengetahuan dan Data (Knowledge and Data Engineering)</v>
      </c>
      <c r="E27" s="987"/>
      <c r="F27" s="994" t="str">
        <f>IFERROR(__xludf.DUMMYFUNCTION("""COMPUTED_VALUE"""),"Purwarupa")</f>
        <v>Purwarupa</v>
      </c>
      <c r="G27" s="989">
        <f>IFERROR(__xludf.DUMMYFUNCTION("""COMPUTED_VALUE"""),0.0)</f>
        <v>0</v>
      </c>
      <c r="H27" s="990" t="str">
        <f>IFERROR(__xludf.DUMMYFUNCTION("""COMPUTED_VALUE"""),"#DIV/0!")</f>
        <v>#DIV/0!</v>
      </c>
      <c r="I27" s="991" t="str">
        <f>IFERROR(__xludf.DUMMYFUNCTION("""COMPUTED_VALUE"""),"Purwarupa")</f>
        <v>Purwarupa</v>
      </c>
      <c r="J27" s="992" t="str">
        <f>IFERROR(__xludf.DUMMYFUNCTION("""COMPUTED_VALUE"""),"#DIV/0!")</f>
        <v>#DIV/0!</v>
      </c>
      <c r="K27" s="819" t="str">
        <f>IFERROR(__xludf.DUMMYFUNCTION("""COMPUTED_VALUE"""),"HARDWARE PROTOTYPE")</f>
        <v>HARDWARE PROTOTYPE</v>
      </c>
      <c r="L27" s="820"/>
      <c r="M27" s="819" t="str">
        <f>IFERROR(__xludf.DUMMYFUNCTION("""COMPUTED_VALUE"""),"SOFTWARE PROTOTYPE")</f>
        <v>SOFTWARE PROTOTYPE</v>
      </c>
      <c r="N27" s="820"/>
      <c r="O27" s="819" t="str">
        <f>IFERROR(__xludf.DUMMYFUNCTION("""COMPUTED_VALUE"""),"DESAIN PROTOTYPE")</f>
        <v>DESAIN PROTOTYPE</v>
      </c>
      <c r="P27" s="820"/>
      <c r="Q27" s="828"/>
      <c r="R27" s="828"/>
      <c r="S27" s="798"/>
      <c r="T27" s="798"/>
      <c r="U27" s="798"/>
      <c r="V27" s="798"/>
      <c r="W27" s="798"/>
      <c r="X27" s="798"/>
      <c r="Y27" s="798"/>
      <c r="Z27" s="798"/>
      <c r="AA27" s="798"/>
      <c r="AB27" s="798"/>
      <c r="AC27" s="798"/>
      <c r="AD27" s="798"/>
    </row>
    <row r="28" ht="15.75" customHeight="1">
      <c r="A28" s="798"/>
      <c r="B28" s="823"/>
      <c r="C28" s="823"/>
      <c r="D28" s="986" t="str">
        <f>IFERROR(__xludf.DUMMYFUNCTION("""COMPUTED_VALUE"""),"Rekayasa Pengetahuan dan Data (Knowledge and Data Engineering)")</f>
        <v>Rekayasa Pengetahuan dan Data (Knowledge and Data Engineering)</v>
      </c>
      <c r="E28" s="823"/>
      <c r="F28" s="823"/>
      <c r="G28" s="823"/>
      <c r="H28" s="823"/>
      <c r="I28" s="823"/>
      <c r="J28" s="825"/>
      <c r="K28" s="827" t="str">
        <f>IFERROR(__xludf.DUMMYFUNCTION("""COMPUTED_VALUE"""),"Selesai")</f>
        <v>Selesai</v>
      </c>
      <c r="L28" s="827" t="str">
        <f>IFERROR(__xludf.DUMMYFUNCTION("""COMPUTED_VALUE"""),"Skala Uji Lab")</f>
        <v>Skala Uji Lab</v>
      </c>
      <c r="M28" s="827" t="str">
        <f>IFERROR(__xludf.DUMMYFUNCTION("""COMPUTED_VALUE"""),"Selesai")</f>
        <v>Selesai</v>
      </c>
      <c r="N28" s="827" t="str">
        <f>IFERROR(__xludf.DUMMYFUNCTION("""COMPUTED_VALUE"""),"Skala Uji Lab")</f>
        <v>Skala Uji Lab</v>
      </c>
      <c r="O28" s="827" t="str">
        <f>IFERROR(__xludf.DUMMYFUNCTION("""COMPUTED_VALUE"""),"Selesai")</f>
        <v>Selesai</v>
      </c>
      <c r="P28" s="827" t="str">
        <f>IFERROR(__xludf.DUMMYFUNCTION("""COMPUTED_VALUE"""),"Skala Uji Lab")</f>
        <v>Skala Uji Lab</v>
      </c>
      <c r="Q28" s="828"/>
      <c r="R28" s="828"/>
      <c r="S28" s="798"/>
      <c r="T28" s="798"/>
      <c r="U28" s="798"/>
      <c r="V28" s="798"/>
      <c r="W28" s="798"/>
      <c r="X28" s="798"/>
      <c r="Y28" s="798"/>
      <c r="Z28" s="798"/>
      <c r="AA28" s="798"/>
      <c r="AB28" s="798"/>
      <c r="AC28" s="798"/>
      <c r="AD28" s="798"/>
    </row>
    <row r="29" ht="15.75" customHeight="1">
      <c r="A29" s="798"/>
      <c r="B29" s="823"/>
      <c r="C29" s="823"/>
      <c r="D29" s="986" t="str">
        <f>IFERROR(__xludf.DUMMYFUNCTION("""COMPUTED_VALUE"""),"Rekayasa Pengetahuan dan Data (Knowledge and Data Engineering)")</f>
        <v>Rekayasa Pengetahuan dan Data (Knowledge and Data Engineering)</v>
      </c>
      <c r="E29" s="400"/>
      <c r="F29" s="400"/>
      <c r="G29" s="400"/>
      <c r="H29" s="400"/>
      <c r="I29" s="400"/>
      <c r="J29" s="825"/>
      <c r="K29" s="830">
        <f>IFERROR(__xludf.DUMMYFUNCTION("""COMPUTED_VALUE"""),0.0)</f>
        <v>0</v>
      </c>
      <c r="L29" s="830">
        <f>IFERROR(__xludf.DUMMYFUNCTION("""COMPUTED_VALUE"""),0.0)</f>
        <v>0</v>
      </c>
      <c r="M29" s="830">
        <f>IFERROR(__xludf.DUMMYFUNCTION("""COMPUTED_VALUE"""),0.0)</f>
        <v>0</v>
      </c>
      <c r="N29" s="830">
        <f>IFERROR(__xludf.DUMMYFUNCTION("""COMPUTED_VALUE"""),0.0)</f>
        <v>0</v>
      </c>
      <c r="O29" s="830">
        <f>IFERROR(__xludf.DUMMYFUNCTION("""COMPUTED_VALUE"""),0.0)</f>
        <v>0</v>
      </c>
      <c r="P29" s="830">
        <f>IFERROR(__xludf.DUMMYFUNCTION("""COMPUTED_VALUE"""),0.0)</f>
        <v>0</v>
      </c>
      <c r="Q29" s="828"/>
      <c r="R29" s="828"/>
      <c r="S29" s="798"/>
      <c r="T29" s="798"/>
      <c r="U29" s="798"/>
      <c r="V29" s="798"/>
      <c r="W29" s="798"/>
      <c r="X29" s="798"/>
      <c r="Y29" s="798"/>
      <c r="Z29" s="798"/>
      <c r="AA29" s="798"/>
      <c r="AB29" s="798"/>
      <c r="AC29" s="798"/>
      <c r="AD29" s="798"/>
    </row>
    <row r="30" ht="15.75" customHeight="1">
      <c r="A30" s="993"/>
      <c r="B30" s="823"/>
      <c r="C30" s="823"/>
      <c r="D30" s="986" t="str">
        <f>IFERROR(__xludf.DUMMYFUNCTION("""COMPUTED_VALUE"""),"Rekayasa Pengetahuan dan Data (Knowledge and Data Engineering)")</f>
        <v>Rekayasa Pengetahuan dan Data (Knowledge and Data Engineering)</v>
      </c>
      <c r="E30" s="987"/>
      <c r="F30" s="994" t="str">
        <f>IFERROR(__xludf.DUMMYFUNCTION("""COMPUTED_VALUE"""),"Publikasi Internasional")</f>
        <v>Publikasi Internasional</v>
      </c>
      <c r="G30" s="989">
        <f>IFERROR(__xludf.DUMMYFUNCTION("""COMPUTED_VALUE"""),12.0)</f>
        <v>12</v>
      </c>
      <c r="H30" s="990" t="str">
        <f>IFERROR(__xludf.DUMMYFUNCTION("""COMPUTED_VALUE"""),"#DIV/0!")</f>
        <v>#DIV/0!</v>
      </c>
      <c r="I30" s="991" t="str">
        <f>IFERROR(__xludf.DUMMYFUNCTION("""COMPUTED_VALUE"""),"Publikasi Internasional")</f>
        <v>Publikasi Internasional</v>
      </c>
      <c r="J30" s="825"/>
      <c r="K30" s="819" t="str">
        <f>IFERROR(__xludf.DUMMYFUNCTION("""COMPUTED_VALUE"""),"JURNAL")</f>
        <v>JURNAL</v>
      </c>
      <c r="L30" s="820"/>
      <c r="M30" s="837" t="str">
        <f>IFERROR(__xludf.DUMMYFUNCTION("""COMPUTED_VALUE"""),"PHROSIDING")</f>
        <v>PHROSIDING</v>
      </c>
      <c r="N30" s="820"/>
      <c r="O30" s="837" t="str">
        <f>IFERROR(__xludf.DUMMYFUNCTION("""COMPUTED_VALUE"""),"BUKU")</f>
        <v>BUKU</v>
      </c>
      <c r="P30" s="820"/>
      <c r="Q30" s="837" t="str">
        <f>IFERROR(__xludf.DUMMYFUNCTION("""COMPUTED_VALUE"""),"BAGIAN BUKU")</f>
        <v>BAGIAN BUKU</v>
      </c>
      <c r="R30" s="820"/>
      <c r="S30" s="798"/>
      <c r="T30" s="798"/>
      <c r="U30" s="798"/>
      <c r="V30" s="798"/>
      <c r="W30" s="798"/>
      <c r="X30" s="798"/>
      <c r="Y30" s="798"/>
      <c r="Z30" s="798"/>
      <c r="AA30" s="798"/>
      <c r="AB30" s="798"/>
      <c r="AC30" s="798"/>
      <c r="AD30" s="798"/>
    </row>
    <row r="31" ht="15.75" customHeight="1">
      <c r="A31" s="993"/>
      <c r="B31" s="823"/>
      <c r="C31" s="823"/>
      <c r="D31" s="986" t="str">
        <f>IFERROR(__xludf.DUMMYFUNCTION("""COMPUTED_VALUE"""),"Rekayasa Pengetahuan dan Data (Knowledge and Data Engineering)")</f>
        <v>Rekayasa Pengetahuan dan Data (Knowledge and Data Engineering)</v>
      </c>
      <c r="E31" s="823"/>
      <c r="F31" s="823"/>
      <c r="G31" s="823"/>
      <c r="H31" s="823"/>
      <c r="I31" s="823"/>
      <c r="J31" s="825"/>
      <c r="K31" s="827" t="str">
        <f>IFERROR(__xludf.DUMMYFUNCTION("""COMPUTED_VALUE"""),"Published")</f>
        <v>Published</v>
      </c>
      <c r="L31" s="827" t="str">
        <f>IFERROR(__xludf.DUMMYFUNCTION("""COMPUTED_VALUE"""),"Accepted")</f>
        <v>Accepted</v>
      </c>
      <c r="M31" s="838" t="str">
        <f>IFERROR(__xludf.DUMMYFUNCTION("""COMPUTED_VALUE"""),"Published")</f>
        <v>Published</v>
      </c>
      <c r="N31" s="838" t="str">
        <f>IFERROR(__xludf.DUMMYFUNCTION("""COMPUTED_VALUE"""),"Accepted")</f>
        <v>Accepted</v>
      </c>
      <c r="O31" s="838" t="str">
        <f>IFERROR(__xludf.DUMMYFUNCTION("""COMPUTED_VALUE"""),"Published")</f>
        <v>Published</v>
      </c>
      <c r="P31" s="838" t="str">
        <f>IFERROR(__xludf.DUMMYFUNCTION("""COMPUTED_VALUE"""),"Accepted")</f>
        <v>Accepted</v>
      </c>
      <c r="Q31" s="838" t="str">
        <f>IFERROR(__xludf.DUMMYFUNCTION("""COMPUTED_VALUE"""),"Published")</f>
        <v>Published</v>
      </c>
      <c r="R31" s="838" t="str">
        <f>IFERROR(__xludf.DUMMYFUNCTION("""COMPUTED_VALUE"""),"Accepted")</f>
        <v>Accepted</v>
      </c>
      <c r="S31" s="798"/>
      <c r="T31" s="798"/>
      <c r="U31" s="798"/>
      <c r="V31" s="798"/>
      <c r="W31" s="798"/>
      <c r="X31" s="798"/>
      <c r="Y31" s="798"/>
      <c r="Z31" s="798"/>
      <c r="AA31" s="798"/>
      <c r="AB31" s="798"/>
      <c r="AC31" s="798"/>
      <c r="AD31" s="798"/>
    </row>
    <row r="32" ht="15.75" customHeight="1">
      <c r="A32" s="993"/>
      <c r="B32" s="823"/>
      <c r="C32" s="823"/>
      <c r="D32" s="986" t="str">
        <f>IFERROR(__xludf.DUMMYFUNCTION("""COMPUTED_VALUE"""),"Rekayasa Pengetahuan dan Data (Knowledge and Data Engineering)")</f>
        <v>Rekayasa Pengetahuan dan Data (Knowledge and Data Engineering)</v>
      </c>
      <c r="E32" s="400"/>
      <c r="F32" s="400"/>
      <c r="G32" s="400"/>
      <c r="H32" s="400"/>
      <c r="I32" s="400"/>
      <c r="J32" s="825"/>
      <c r="K32" s="840">
        <f>IFERROR(__xludf.DUMMYFUNCTION("""COMPUTED_VALUE"""),9.0)</f>
        <v>9</v>
      </c>
      <c r="L32" s="841">
        <f>IFERROR(__xludf.DUMMYFUNCTION("""COMPUTED_VALUE"""),0.0)</f>
        <v>0</v>
      </c>
      <c r="M32" s="840">
        <f>IFERROR(__xludf.DUMMYFUNCTION("""COMPUTED_VALUE"""),3.0)</f>
        <v>3</v>
      </c>
      <c r="N32" s="841">
        <f>IFERROR(__xludf.DUMMYFUNCTION("""COMPUTED_VALUE"""),0.0)</f>
        <v>0</v>
      </c>
      <c r="O32" s="840">
        <f>IFERROR(__xludf.DUMMYFUNCTION("""COMPUTED_VALUE"""),0.0)</f>
        <v>0</v>
      </c>
      <c r="P32" s="841">
        <f>IFERROR(__xludf.DUMMYFUNCTION("""COMPUTED_VALUE"""),0.0)</f>
        <v>0</v>
      </c>
      <c r="Q32" s="840">
        <f>IFERROR(__xludf.DUMMYFUNCTION("""COMPUTED_VALUE"""),0.0)</f>
        <v>0</v>
      </c>
      <c r="R32" s="841">
        <f>IFERROR(__xludf.DUMMYFUNCTION("""COMPUTED_VALUE"""),0.0)</f>
        <v>0</v>
      </c>
      <c r="S32" s="798"/>
      <c r="T32" s="798"/>
      <c r="U32" s="798"/>
      <c r="V32" s="798"/>
      <c r="W32" s="798"/>
      <c r="X32" s="798"/>
      <c r="Y32" s="798"/>
      <c r="Z32" s="798"/>
      <c r="AA32" s="798"/>
      <c r="AB32" s="798"/>
      <c r="AC32" s="798"/>
      <c r="AD32" s="798"/>
    </row>
    <row r="33" ht="15.75" customHeight="1">
      <c r="A33" s="993"/>
      <c r="B33" s="823"/>
      <c r="C33" s="823"/>
      <c r="D33" s="986" t="str">
        <f>IFERROR(__xludf.DUMMYFUNCTION("""COMPUTED_VALUE"""),"Rekayasa Pengetahuan dan Data (Knowledge and Data Engineering)")</f>
        <v>Rekayasa Pengetahuan dan Data (Knowledge and Data Engineering)</v>
      </c>
      <c r="E33" s="987"/>
      <c r="F33" s="994" t="str">
        <f>IFERROR(__xludf.DUMMYFUNCTION("""COMPUTED_VALUE"""),"Kekayaan Intelektual")</f>
        <v>Kekayaan Intelektual</v>
      </c>
      <c r="G33" s="989">
        <f>IFERROR(__xludf.DUMMYFUNCTION("""COMPUTED_VALUE"""),0.0)</f>
        <v>0</v>
      </c>
      <c r="H33" s="990" t="str">
        <f>IFERROR(__xludf.DUMMYFUNCTION("""COMPUTED_VALUE"""),"#DIV/0!")</f>
        <v>#DIV/0!</v>
      </c>
      <c r="I33" s="991" t="str">
        <f>IFERROR(__xludf.DUMMYFUNCTION("""COMPUTED_VALUE"""),"Kekayaan Intelektual")</f>
        <v>Kekayaan Intelektual</v>
      </c>
      <c r="J33" s="825"/>
      <c r="K33" s="843" t="str">
        <f>IFERROR(__xludf.DUMMYFUNCTION("""COMPUTED_VALUE"""),"PATEN")</f>
        <v>PATEN</v>
      </c>
      <c r="L33" s="829"/>
      <c r="M33" s="843" t="str">
        <f>IFERROR(__xludf.DUMMYFUNCTION("""COMPUTED_VALUE"""),"HAK CIPTA")</f>
        <v>HAK CIPTA</v>
      </c>
      <c r="N33" s="829"/>
      <c r="O33" s="843" t="str">
        <f>IFERROR(__xludf.DUMMYFUNCTION("""COMPUTED_VALUE"""),"DESAIN INDUSTRI")</f>
        <v>DESAIN INDUSTRI</v>
      </c>
      <c r="P33" s="829"/>
      <c r="Q33" s="995"/>
      <c r="S33" s="798"/>
      <c r="T33" s="798"/>
      <c r="U33" s="798"/>
      <c r="V33" s="798"/>
      <c r="W33" s="798"/>
      <c r="X33" s="798"/>
      <c r="Y33" s="798"/>
      <c r="Z33" s="798"/>
      <c r="AA33" s="798"/>
      <c r="AB33" s="798"/>
      <c r="AC33" s="798"/>
      <c r="AD33" s="798"/>
    </row>
    <row r="34" ht="15.75" customHeight="1">
      <c r="A34" s="993"/>
      <c r="B34" s="823"/>
      <c r="C34" s="823"/>
      <c r="D34" s="986" t="str">
        <f>IFERROR(__xludf.DUMMYFUNCTION("""COMPUTED_VALUE"""),"Rekayasa Pengetahuan dan Data (Knowledge and Data Engineering)")</f>
        <v>Rekayasa Pengetahuan dan Data (Knowledge and Data Engineering)</v>
      </c>
      <c r="E34" s="823"/>
      <c r="F34" s="823"/>
      <c r="G34" s="823"/>
      <c r="H34" s="823"/>
      <c r="I34" s="823"/>
      <c r="J34" s="825"/>
      <c r="K34" s="845" t="str">
        <f>IFERROR(__xludf.DUMMYFUNCTION("""COMPUTED_VALUE"""),"Terdaftar DJKI")</f>
        <v>Terdaftar DJKI</v>
      </c>
      <c r="L34" s="845" t="str">
        <f>IFERROR(__xludf.DUMMYFUNCTION("""COMPUTED_VALUE"""),"Tersertifikasi")</f>
        <v>Tersertifikasi</v>
      </c>
      <c r="M34" s="845" t="str">
        <f>IFERROR(__xludf.DUMMYFUNCTION("""COMPUTED_VALUE"""),"Terdaftar DJKI")</f>
        <v>Terdaftar DJKI</v>
      </c>
      <c r="N34" s="845" t="str">
        <f>IFERROR(__xludf.DUMMYFUNCTION("""COMPUTED_VALUE"""),"Tersertifikasi")</f>
        <v>Tersertifikasi</v>
      </c>
      <c r="O34" s="845" t="str">
        <f>IFERROR(__xludf.DUMMYFUNCTION("""COMPUTED_VALUE"""),"Terdaftar DJKI")</f>
        <v>Terdaftar DJKI</v>
      </c>
      <c r="P34" s="845" t="str">
        <f>IFERROR(__xludf.DUMMYFUNCTION("""COMPUTED_VALUE"""),"Tersertifikasi")</f>
        <v>Tersertifikasi</v>
      </c>
      <c r="Q34" s="842"/>
      <c r="R34" s="842"/>
      <c r="S34" s="798"/>
      <c r="T34" s="798"/>
      <c r="U34" s="798"/>
      <c r="V34" s="798"/>
      <c r="W34" s="798"/>
      <c r="X34" s="798"/>
      <c r="Y34" s="798"/>
      <c r="Z34" s="798"/>
      <c r="AA34" s="798"/>
      <c r="AB34" s="798"/>
      <c r="AC34" s="798"/>
      <c r="AD34" s="798"/>
    </row>
    <row r="35" ht="15.75" customHeight="1">
      <c r="A35" s="993"/>
      <c r="B35" s="823"/>
      <c r="C35" s="823"/>
      <c r="D35" s="986" t="str">
        <f>IFERROR(__xludf.DUMMYFUNCTION("""COMPUTED_VALUE"""),"Rekayasa Pengetahuan dan Data (Knowledge and Data Engineering)")</f>
        <v>Rekayasa Pengetahuan dan Data (Knowledge and Data Engineering)</v>
      </c>
      <c r="E35" s="400"/>
      <c r="F35" s="400"/>
      <c r="G35" s="400"/>
      <c r="H35" s="400"/>
      <c r="I35" s="400"/>
      <c r="J35" s="825"/>
      <c r="K35" s="830">
        <f>IFERROR(__xludf.DUMMYFUNCTION("""COMPUTED_VALUE"""),0.0)</f>
        <v>0</v>
      </c>
      <c r="L35" s="830">
        <f>IFERROR(__xludf.DUMMYFUNCTION("""COMPUTED_VALUE"""),0.0)</f>
        <v>0</v>
      </c>
      <c r="M35" s="830">
        <f>IFERROR(__xludf.DUMMYFUNCTION("""COMPUTED_VALUE"""),0.0)</f>
        <v>0</v>
      </c>
      <c r="N35" s="830">
        <f>IFERROR(__xludf.DUMMYFUNCTION("""COMPUTED_VALUE"""),0.0)</f>
        <v>0</v>
      </c>
      <c r="O35" s="830">
        <f>IFERROR(__xludf.DUMMYFUNCTION("""COMPUTED_VALUE"""),0.0)</f>
        <v>0</v>
      </c>
      <c r="P35" s="830">
        <f>IFERROR(__xludf.DUMMYFUNCTION("""COMPUTED_VALUE"""),0.0)</f>
        <v>0</v>
      </c>
      <c r="Q35" s="842"/>
      <c r="R35" s="842"/>
      <c r="S35" s="798"/>
      <c r="T35" s="798"/>
      <c r="U35" s="798"/>
      <c r="V35" s="798"/>
      <c r="W35" s="798"/>
      <c r="X35" s="798"/>
      <c r="Y35" s="798"/>
      <c r="Z35" s="798"/>
      <c r="AA35" s="798"/>
      <c r="AB35" s="798"/>
      <c r="AC35" s="798"/>
      <c r="AD35" s="798"/>
    </row>
    <row r="36" ht="15.75" customHeight="1">
      <c r="A36" s="993"/>
      <c r="B36" s="823"/>
      <c r="C36" s="823"/>
      <c r="D36" s="986" t="str">
        <f>IFERROR(__xludf.DUMMYFUNCTION("""COMPUTED_VALUE"""),"Rekayasa Pengetahuan dan Data (Knowledge and Data Engineering)")</f>
        <v>Rekayasa Pengetahuan dan Data (Knowledge and Data Engineering)</v>
      </c>
      <c r="E36" s="987"/>
      <c r="F36" s="994" t="str">
        <f>IFERROR(__xludf.DUMMYFUNCTION("""COMPUTED_VALUE"""),"SDM Iptek")</f>
        <v>SDM Iptek</v>
      </c>
      <c r="G36" s="989">
        <f>IFERROR(__xludf.DUMMYFUNCTION("""COMPUTED_VALUE"""),0.0)</f>
        <v>0</v>
      </c>
      <c r="H36" s="990" t="str">
        <f>IFERROR(__xludf.DUMMYFUNCTION("""COMPUTED_VALUE"""),"#DIV/0!")</f>
        <v>#DIV/0!</v>
      </c>
      <c r="I36" s="991" t="str">
        <f>IFERROR(__xludf.DUMMYFUNCTION("""COMPUTED_VALUE"""),"SDM Iptek")</f>
        <v>SDM Iptek</v>
      </c>
      <c r="J36" s="825"/>
      <c r="K36" s="849" t="str">
        <f>IFERROR(__xludf.DUMMYFUNCTION("""COMPUTED_VALUE"""),"S2")</f>
        <v>S2</v>
      </c>
      <c r="L36" s="849" t="str">
        <f>IFERROR(__xludf.DUMMYFUNCTION("""COMPUTED_VALUE"""),"S3")</f>
        <v>S3</v>
      </c>
      <c r="M36" s="857" t="str">
        <f>IFERROR(__xludf.DUMMYFUNCTION("""COMPUTED_VALUE"""),"IJIN BELAJAR")</f>
        <v>IJIN BELAJAR</v>
      </c>
      <c r="N36" s="912" t="str">
        <f>IFERROR(__xludf.DUMMYFUNCTION("""COMPUTED_VALUE"""),"TUGAS BELAJAR")</f>
        <v>TUGAS BELAJAR</v>
      </c>
      <c r="O36" s="996"/>
      <c r="P36" s="996"/>
      <c r="Q36" s="996"/>
      <c r="R36" s="996"/>
      <c r="S36" s="798"/>
      <c r="T36" s="798"/>
      <c r="U36" s="798"/>
      <c r="V36" s="798"/>
      <c r="W36" s="798"/>
      <c r="X36" s="798"/>
      <c r="Y36" s="798"/>
      <c r="Z36" s="798"/>
      <c r="AA36" s="798"/>
      <c r="AB36" s="798"/>
      <c r="AC36" s="798"/>
      <c r="AD36" s="798"/>
    </row>
    <row r="37" ht="15.75" customHeight="1">
      <c r="A37" s="993"/>
      <c r="B37" s="823"/>
      <c r="C37" s="823"/>
      <c r="D37" s="986" t="str">
        <f>IFERROR(__xludf.DUMMYFUNCTION("""COMPUTED_VALUE"""),"Rekayasa Pengetahuan dan Data (Knowledge and Data Engineering)")</f>
        <v>Rekayasa Pengetahuan dan Data (Knowledge and Data Engineering)</v>
      </c>
      <c r="E37" s="400"/>
      <c r="F37" s="400"/>
      <c r="G37" s="400"/>
      <c r="H37" s="400"/>
      <c r="I37" s="400"/>
      <c r="J37" s="825"/>
      <c r="K37" s="830">
        <f>IFERROR(__xludf.DUMMYFUNCTION("""COMPUTED_VALUE"""),0.0)</f>
        <v>0</v>
      </c>
      <c r="L37" s="830">
        <f>IFERROR(__xludf.DUMMYFUNCTION("""COMPUTED_VALUE"""),0.0)</f>
        <v>0</v>
      </c>
      <c r="M37" s="830">
        <f>IFERROR(__xludf.DUMMYFUNCTION("""COMPUTED_VALUE"""),0.0)</f>
        <v>0</v>
      </c>
      <c r="N37" s="830">
        <f>IFERROR(__xludf.DUMMYFUNCTION("""COMPUTED_VALUE"""),0.0)</f>
        <v>0</v>
      </c>
      <c r="O37" s="996"/>
      <c r="P37" s="996"/>
      <c r="Q37" s="996"/>
      <c r="R37" s="996"/>
      <c r="S37" s="798"/>
      <c r="T37" s="798"/>
      <c r="U37" s="798"/>
      <c r="V37" s="798"/>
      <c r="W37" s="798"/>
      <c r="X37" s="798"/>
      <c r="Y37" s="798"/>
      <c r="Z37" s="798"/>
      <c r="AA37" s="798"/>
      <c r="AB37" s="798"/>
      <c r="AC37" s="798"/>
      <c r="AD37" s="798"/>
    </row>
    <row r="38" ht="15.75" customHeight="1">
      <c r="A38" s="993"/>
      <c r="B38" s="823"/>
      <c r="C38" s="823"/>
      <c r="D38" s="986" t="str">
        <f>IFERROR(__xludf.DUMMYFUNCTION("""COMPUTED_VALUE"""),"Rekayasa Pengetahuan dan Data (Knowledge and Data Engineering)")</f>
        <v>Rekayasa Pengetahuan dan Data (Knowledge and Data Engineering)</v>
      </c>
      <c r="E38" s="987"/>
      <c r="F38" s="994" t="str">
        <f>IFERROR(__xludf.DUMMYFUNCTION("""COMPUTED_VALUE"""),"Peserta Postdoc/Visiting Research")</f>
        <v>Peserta Postdoc/Visiting Research</v>
      </c>
      <c r="G38" s="989">
        <f>IFERROR(__xludf.DUMMYFUNCTION("""COMPUTED_VALUE"""),0.0)</f>
        <v>0</v>
      </c>
      <c r="H38" s="990" t="str">
        <f>IFERROR(__xludf.DUMMYFUNCTION("""COMPUTED_VALUE"""),"#DIV/0!")</f>
        <v>#DIV/0!</v>
      </c>
      <c r="I38" s="991" t="str">
        <f>IFERROR(__xludf.DUMMYFUNCTION("""COMPUTED_VALUE"""),"Peserta Postdoc/Visiting Research")</f>
        <v>Peserta Postdoc/Visiting Research</v>
      </c>
      <c r="J38" s="825"/>
      <c r="K38" s="843" t="str">
        <f>IFERROR(__xludf.DUMMYFUNCTION("""COMPUTED_VALUE"""),"POSTDOCTORAL")</f>
        <v>POSTDOCTORAL</v>
      </c>
      <c r="L38" s="829"/>
      <c r="M38" s="843" t="str">
        <f>IFERROR(__xludf.DUMMYFUNCTION("""COMPUTED_VALUE"""),"VISITING RESEARCH")</f>
        <v>VISITING RESEARCH</v>
      </c>
      <c r="N38" s="829"/>
      <c r="O38" s="860" t="str">
        <f>IFERROR(__xludf.DUMMYFUNCTION("""COMPUTED_VALUE"""),"PUBLIKASI")</f>
        <v>PUBLIKASI</v>
      </c>
      <c r="P38" s="820"/>
      <c r="Q38" s="996"/>
      <c r="R38" s="996"/>
      <c r="S38" s="798"/>
      <c r="T38" s="798"/>
      <c r="U38" s="798"/>
      <c r="V38" s="798"/>
      <c r="W38" s="798"/>
      <c r="X38" s="798"/>
      <c r="Y38" s="798"/>
      <c r="Z38" s="798"/>
      <c r="AA38" s="798"/>
      <c r="AB38" s="798"/>
      <c r="AC38" s="798"/>
      <c r="AD38" s="798"/>
    </row>
    <row r="39" ht="15.75" customHeight="1">
      <c r="A39" s="993"/>
      <c r="B39" s="823"/>
      <c r="C39" s="823"/>
      <c r="D39" s="986" t="str">
        <f>IFERROR(__xludf.DUMMYFUNCTION("""COMPUTED_VALUE"""),"Rekayasa Pengetahuan dan Data (Knowledge and Data Engineering)")</f>
        <v>Rekayasa Pengetahuan dan Data (Knowledge and Data Engineering)</v>
      </c>
      <c r="E39" s="823"/>
      <c r="F39" s="823"/>
      <c r="G39" s="823"/>
      <c r="H39" s="823"/>
      <c r="I39" s="823"/>
      <c r="J39" s="825"/>
      <c r="K39" s="827" t="str">
        <f>IFERROR(__xludf.DUMMYFUNCTION("""COMPUTED_VALUE"""),"Dalam Negeri")</f>
        <v>Dalam Negeri</v>
      </c>
      <c r="L39" s="827" t="str">
        <f>IFERROR(__xludf.DUMMYFUNCTION("""COMPUTED_VALUE"""),"Luar Negeri")</f>
        <v>Luar Negeri</v>
      </c>
      <c r="M39" s="827" t="str">
        <f>IFERROR(__xludf.DUMMYFUNCTION("""COMPUTED_VALUE"""),"Dalam Negeri")</f>
        <v>Dalam Negeri</v>
      </c>
      <c r="N39" s="827" t="str">
        <f>IFERROR(__xludf.DUMMYFUNCTION("""COMPUTED_VALUE"""),"Luar Negeri")</f>
        <v>Luar Negeri</v>
      </c>
      <c r="O39" s="1009" t="str">
        <f>IFERROR(__xludf.DUMMYFUNCTION("""COMPUTED_VALUE"""),"Dalam Negeri")</f>
        <v>Dalam Negeri</v>
      </c>
      <c r="P39" s="1009" t="str">
        <f>IFERROR(__xludf.DUMMYFUNCTION("""COMPUTED_VALUE"""),"Luar Negeri")</f>
        <v>Luar Negeri</v>
      </c>
      <c r="Q39" s="996"/>
      <c r="R39" s="996"/>
      <c r="S39" s="798"/>
      <c r="T39" s="798"/>
      <c r="U39" s="798"/>
      <c r="V39" s="798"/>
      <c r="W39" s="798"/>
      <c r="X39" s="798"/>
      <c r="Y39" s="798"/>
      <c r="Z39" s="798"/>
      <c r="AA39" s="798"/>
      <c r="AB39" s="798"/>
      <c r="AC39" s="798"/>
      <c r="AD39" s="798"/>
    </row>
    <row r="40" ht="15.75" customHeight="1">
      <c r="A40" s="993"/>
      <c r="B40" s="823"/>
      <c r="C40" s="823"/>
      <c r="D40" s="986" t="str">
        <f>IFERROR(__xludf.DUMMYFUNCTION("""COMPUTED_VALUE"""),"Rekayasa Pengetahuan dan Data (Knowledge and Data Engineering)")</f>
        <v>Rekayasa Pengetahuan dan Data (Knowledge and Data Engineering)</v>
      </c>
      <c r="E40" s="400"/>
      <c r="F40" s="400"/>
      <c r="G40" s="400"/>
      <c r="H40" s="400"/>
      <c r="I40" s="400"/>
      <c r="J40" s="825"/>
      <c r="K40" s="916">
        <f>IFERROR(__xludf.DUMMYFUNCTION("""COMPUTED_VALUE"""),0.0)</f>
        <v>0</v>
      </c>
      <c r="L40" s="916">
        <f>IFERROR(__xludf.DUMMYFUNCTION("""COMPUTED_VALUE"""),0.0)</f>
        <v>0</v>
      </c>
      <c r="M40" s="916">
        <f>IFERROR(__xludf.DUMMYFUNCTION("""COMPUTED_VALUE"""),0.0)</f>
        <v>0</v>
      </c>
      <c r="N40" s="916">
        <f>IFERROR(__xludf.DUMMYFUNCTION("""COMPUTED_VALUE"""),0.0)</f>
        <v>0</v>
      </c>
      <c r="O40" s="916">
        <f>IFERROR(__xludf.DUMMYFUNCTION("""COMPUTED_VALUE"""),0.0)</f>
        <v>0</v>
      </c>
      <c r="P40" s="916">
        <f>IFERROR(__xludf.DUMMYFUNCTION("""COMPUTED_VALUE"""),0.0)</f>
        <v>0</v>
      </c>
      <c r="Q40" s="996"/>
      <c r="R40" s="996"/>
      <c r="S40" s="798"/>
      <c r="T40" s="798"/>
      <c r="U40" s="798"/>
      <c r="V40" s="798"/>
      <c r="W40" s="798"/>
      <c r="X40" s="798"/>
      <c r="Y40" s="798"/>
      <c r="Z40" s="798"/>
      <c r="AA40" s="798"/>
      <c r="AB40" s="798"/>
      <c r="AC40" s="798"/>
      <c r="AD40" s="798"/>
    </row>
    <row r="41" ht="15.75" customHeight="1">
      <c r="A41" s="993"/>
      <c r="B41" s="823"/>
      <c r="C41" s="823"/>
      <c r="D41" s="986" t="str">
        <f>IFERROR(__xludf.DUMMYFUNCTION("""COMPUTED_VALUE"""),"Rekayasa Pengetahuan dan Data (Knowledge and Data Engineering)")</f>
        <v>Rekayasa Pengetahuan dan Data (Knowledge and Data Engineering)</v>
      </c>
      <c r="E41" s="997"/>
      <c r="F41" s="998" t="str">
        <f>IFERROR(__xludf.DUMMYFUNCTION("""COMPUTED_VALUE"""),"Kerjasama")</f>
        <v>Kerjasama</v>
      </c>
      <c r="G41" s="989">
        <f>IFERROR(__xludf.DUMMYFUNCTION("""COMPUTED_VALUE"""),0.0)</f>
        <v>0</v>
      </c>
      <c r="H41" s="990" t="str">
        <f>IFERROR(__xludf.DUMMYFUNCTION("""COMPUTED_VALUE"""),"#DIV/0!")</f>
        <v>#DIV/0!</v>
      </c>
      <c r="I41" s="991" t="str">
        <f>IFERROR(__xludf.DUMMYFUNCTION("""COMPUTED_VALUE"""),"Kerjasama")</f>
        <v>Kerjasama</v>
      </c>
      <c r="J41" s="825"/>
      <c r="K41" s="849" t="str">
        <f>IFERROR(__xludf.DUMMYFUNCTION("""COMPUTED_VALUE"""),"PNBP")</f>
        <v>PNBP</v>
      </c>
      <c r="L41" s="849" t="str">
        <f>IFERROR(__xludf.DUMMYFUNCTION("""COMPUTED_VALUE"""),"HIBAH")</f>
        <v>HIBAH</v>
      </c>
      <c r="M41" s="849" t="str">
        <f>IFERROR(__xludf.DUMMYFUNCTION("""COMPUTED_VALUE"""),"MITRA/UNV")</f>
        <v>MITRA/UNV</v>
      </c>
      <c r="N41" s="849" t="str">
        <f>IFERROR(__xludf.DUMMYFUNCTION("""COMPUTED_VALUE"""),"POSTDOC")</f>
        <v>POSTDOC</v>
      </c>
      <c r="O41" s="849" t="str">
        <f>IFERROR(__xludf.DUMMYFUNCTION("""COMPUTED_VALUE"""),"VISITING RSRCH")</f>
        <v>VISITING RSRCH</v>
      </c>
      <c r="P41" s="850" t="str">
        <f>IFERROR(__xludf.DUMMYFUNCTION("""COMPUTED_VALUE"""),"RIMM")</f>
        <v>RIMM</v>
      </c>
      <c r="Q41" s="849" t="str">
        <f>IFERROR(__xludf.DUMMYFUNCTION("""COMPUTED_VALUE"""),"LISENSI")</f>
        <v>LISENSI</v>
      </c>
      <c r="R41" s="851" t="str">
        <f>IFERROR(__xludf.DUMMYFUNCTION("""COMPUTED_VALUE"""),"DALAM NEGERI")</f>
        <v>DALAM NEGERI</v>
      </c>
      <c r="S41" s="851" t="str">
        <f>IFERROR(__xludf.DUMMYFUNCTION("""COMPUTED_VALUE"""),"LUAR NEGERI")</f>
        <v>LUAR NEGERI</v>
      </c>
      <c r="T41" s="798"/>
      <c r="U41" s="798"/>
      <c r="V41" s="798"/>
      <c r="W41" s="798"/>
      <c r="X41" s="798"/>
      <c r="Y41" s="798"/>
      <c r="Z41" s="798"/>
      <c r="AA41" s="798"/>
      <c r="AB41" s="798"/>
      <c r="AC41" s="798"/>
      <c r="AD41" s="798"/>
    </row>
    <row r="42" ht="15.75" customHeight="1">
      <c r="A42" s="993"/>
      <c r="B42" s="823"/>
      <c r="C42" s="823"/>
      <c r="D42" s="986" t="str">
        <f>IFERROR(__xludf.DUMMYFUNCTION("""COMPUTED_VALUE"""),"Rekayasa Pengetahuan dan Data (Knowledge and Data Engineering)")</f>
        <v>Rekayasa Pengetahuan dan Data (Knowledge and Data Engineering)</v>
      </c>
      <c r="E42" s="400"/>
      <c r="F42" s="400"/>
      <c r="G42" s="400"/>
      <c r="H42" s="400"/>
      <c r="I42" s="400"/>
      <c r="J42" s="825"/>
      <c r="K42" s="830">
        <f>IFERROR(__xludf.DUMMYFUNCTION("""COMPUTED_VALUE"""),0.0)</f>
        <v>0</v>
      </c>
      <c r="L42" s="830">
        <f>IFERROR(__xludf.DUMMYFUNCTION("""COMPUTED_VALUE"""),0.0)</f>
        <v>0</v>
      </c>
      <c r="M42" s="830">
        <f>IFERROR(__xludf.DUMMYFUNCTION("""COMPUTED_VALUE"""),0.0)</f>
        <v>0</v>
      </c>
      <c r="N42" s="830">
        <f>IFERROR(__xludf.DUMMYFUNCTION("""COMPUTED_VALUE"""),0.0)</f>
        <v>0</v>
      </c>
      <c r="O42" s="830">
        <f>IFERROR(__xludf.DUMMYFUNCTION("""COMPUTED_VALUE"""),0.0)</f>
        <v>0</v>
      </c>
      <c r="P42" s="996">
        <f>IFERROR(__xludf.DUMMYFUNCTION("""COMPUTED_VALUE"""),0.0)</f>
        <v>0</v>
      </c>
      <c r="Q42" s="830">
        <f>IFERROR(__xludf.DUMMYFUNCTION("""COMPUTED_VALUE"""),0.0)</f>
        <v>0</v>
      </c>
      <c r="R42" s="830">
        <f>IFERROR(__xludf.DUMMYFUNCTION("""COMPUTED_VALUE"""),0.0)</f>
        <v>0</v>
      </c>
      <c r="S42" s="830">
        <f>IFERROR(__xludf.DUMMYFUNCTION("""COMPUTED_VALUE"""),0.0)</f>
        <v>0</v>
      </c>
      <c r="T42" s="798"/>
      <c r="U42" s="798"/>
      <c r="V42" s="798"/>
      <c r="W42" s="798"/>
      <c r="X42" s="798"/>
      <c r="Y42" s="798"/>
      <c r="Z42" s="798"/>
      <c r="AA42" s="798"/>
      <c r="AB42" s="798"/>
      <c r="AC42" s="798"/>
      <c r="AD42" s="798"/>
    </row>
    <row r="43" ht="15.75" customHeight="1">
      <c r="A43" s="993"/>
      <c r="B43" s="823"/>
      <c r="C43" s="823"/>
      <c r="D43" s="986" t="str">
        <f>IFERROR(__xludf.DUMMYFUNCTION("""COMPUTED_VALUE"""),"Rekayasa Pengetahuan dan Data (Knowledge and Data Engineering)")</f>
        <v>Rekayasa Pengetahuan dan Data (Knowledge and Data Engineering)</v>
      </c>
      <c r="E43" s="997"/>
      <c r="F43" s="998" t="str">
        <f>IFERROR(__xludf.DUMMYFUNCTION("""COMPUTED_VALUE"""),"Dana Eksternal")</f>
        <v>Dana Eksternal</v>
      </c>
      <c r="G43" s="999">
        <f>IFERROR(__xludf.DUMMYFUNCTION("""COMPUTED_VALUE"""),3.25E8)</f>
        <v>325000000</v>
      </c>
      <c r="H43" s="990" t="str">
        <f>IFERROR(__xludf.DUMMYFUNCTION("""COMPUTED_VALUE"""),"#DIV/0!")</f>
        <v>#DIV/0!</v>
      </c>
      <c r="I43" s="991" t="str">
        <f>IFERROR(__xludf.DUMMYFUNCTION("""COMPUTED_VALUE"""),"Dana Eksternal")</f>
        <v>Dana Eksternal</v>
      </c>
      <c r="J43" s="825"/>
      <c r="K43" s="849" t="str">
        <f>IFERROR(__xludf.DUMMYFUNCTION("""COMPUTED_VALUE"""),"PNBP")</f>
        <v>PNBP</v>
      </c>
      <c r="L43" s="849" t="str">
        <f>IFERROR(__xludf.DUMMYFUNCTION("""COMPUTED_VALUE"""),"HIBAH")</f>
        <v>HIBAH</v>
      </c>
      <c r="M43" s="849" t="str">
        <f>IFERROR(__xludf.DUMMYFUNCTION("""COMPUTED_VALUE"""),"MITRA/UNV")</f>
        <v>MITRA/UNV</v>
      </c>
      <c r="N43" s="849" t="str">
        <f>IFERROR(__xludf.DUMMYFUNCTION("""COMPUTED_VALUE"""),"POSTDOC")</f>
        <v>POSTDOC</v>
      </c>
      <c r="O43" s="849" t="str">
        <f>IFERROR(__xludf.DUMMYFUNCTION("""COMPUTED_VALUE"""),"VISITING RSRCH")</f>
        <v>VISITING RSRCH</v>
      </c>
      <c r="P43" s="850" t="str">
        <f>IFERROR(__xludf.DUMMYFUNCTION("""COMPUTED_VALUE"""),"RIMM")</f>
        <v>RIMM</v>
      </c>
      <c r="Q43" s="850" t="str">
        <f>IFERROR(__xludf.DUMMYFUNCTION("""COMPUTED_VALUE"""),"LISENSI")</f>
        <v>LISENSI</v>
      </c>
      <c r="R43" s="851" t="str">
        <f>IFERROR(__xludf.DUMMYFUNCTION("""COMPUTED_VALUE"""),"DALAM NEGERI")</f>
        <v>DALAM NEGERI</v>
      </c>
      <c r="S43" s="851" t="str">
        <f>IFERROR(__xludf.DUMMYFUNCTION("""COMPUTED_VALUE"""),"LUAR NEGERI")</f>
        <v>LUAR NEGERI</v>
      </c>
      <c r="T43" s="852" t="str">
        <f>IFERROR(__xludf.DUMMYFUNCTION("""COMPUTED_VALUE"""),"IN CASH")</f>
        <v>IN CASH</v>
      </c>
      <c r="U43" s="852" t="str">
        <f>IFERROR(__xludf.DUMMYFUNCTION("""COMPUTED_VALUE"""),"IN KIND")</f>
        <v>IN KIND</v>
      </c>
      <c r="V43" s="798"/>
      <c r="W43" s="798"/>
      <c r="X43" s="798"/>
      <c r="Y43" s="798"/>
      <c r="Z43" s="798"/>
      <c r="AA43" s="798"/>
      <c r="AB43" s="798"/>
      <c r="AC43" s="798"/>
      <c r="AD43" s="798"/>
    </row>
    <row r="44" ht="15.75" customHeight="1">
      <c r="A44" s="993"/>
      <c r="B44" s="400"/>
      <c r="C44" s="400"/>
      <c r="D44" s="986" t="str">
        <f>IFERROR(__xludf.DUMMYFUNCTION("""COMPUTED_VALUE"""),"Rekayasa Pengetahuan dan Data (Knowledge and Data Engineering)")</f>
        <v>Rekayasa Pengetahuan dan Data (Knowledge and Data Engineering)</v>
      </c>
      <c r="E44" s="400"/>
      <c r="F44" s="400"/>
      <c r="G44" s="400"/>
      <c r="H44" s="400"/>
      <c r="I44" s="400"/>
      <c r="J44" s="829"/>
      <c r="K44" s="853">
        <f>IFERROR(__xludf.DUMMYFUNCTION("""COMPUTED_VALUE"""),0.0)</f>
        <v>0</v>
      </c>
      <c r="L44" s="853">
        <f>IFERROR(__xludf.DUMMYFUNCTION("""COMPUTED_VALUE"""),0.0)</f>
        <v>0</v>
      </c>
      <c r="M44" s="853">
        <f>IFERROR(__xludf.DUMMYFUNCTION("""COMPUTED_VALUE"""),0.0)</f>
        <v>0</v>
      </c>
      <c r="N44" s="853">
        <f>IFERROR(__xludf.DUMMYFUNCTION("""COMPUTED_VALUE"""),0.0)</f>
        <v>0</v>
      </c>
      <c r="O44" s="853">
        <f>IFERROR(__xludf.DUMMYFUNCTION("""COMPUTED_VALUE"""),0.0)</f>
        <v>0</v>
      </c>
      <c r="P44" s="853">
        <f>IFERROR(__xludf.DUMMYFUNCTION("""COMPUTED_VALUE"""),3.25E8)</f>
        <v>325000000</v>
      </c>
      <c r="Q44" s="853">
        <f>IFERROR(__xludf.DUMMYFUNCTION("""COMPUTED_VALUE"""),0.0)</f>
        <v>0</v>
      </c>
      <c r="R44" s="853">
        <f>IFERROR(__xludf.DUMMYFUNCTION("""COMPUTED_VALUE"""),3.25E8)</f>
        <v>325000000</v>
      </c>
      <c r="S44" s="853">
        <f>IFERROR(__xludf.DUMMYFUNCTION("""COMPUTED_VALUE"""),0.0)</f>
        <v>0</v>
      </c>
      <c r="T44" s="853">
        <f>IFERROR(__xludf.DUMMYFUNCTION("""COMPUTED_VALUE"""),3.25E8)</f>
        <v>325000000</v>
      </c>
      <c r="U44" s="853">
        <f>IFERROR(__xludf.DUMMYFUNCTION("""COMPUTED_VALUE"""),0.0)</f>
        <v>0</v>
      </c>
      <c r="V44" s="798"/>
      <c r="W44" s="798"/>
      <c r="X44" s="798"/>
      <c r="Y44" s="798"/>
      <c r="Z44" s="798"/>
      <c r="AA44" s="798"/>
      <c r="AB44" s="798"/>
      <c r="AC44" s="798"/>
      <c r="AD44" s="798"/>
    </row>
    <row r="45" ht="15.75" customHeight="1">
      <c r="A45" s="798"/>
      <c r="B45" s="798"/>
      <c r="C45" s="993"/>
      <c r="D45" s="1010"/>
      <c r="E45" s="798"/>
      <c r="F45" s="1004"/>
      <c r="G45" s="798"/>
      <c r="H45" s="798"/>
      <c r="I45" s="798"/>
      <c r="J45" s="798"/>
      <c r="K45" s="798"/>
      <c r="L45" s="798"/>
      <c r="M45" s="798"/>
      <c r="N45" s="798"/>
      <c r="O45" s="798"/>
      <c r="P45" s="798"/>
      <c r="Q45" s="798"/>
      <c r="R45" s="798"/>
      <c r="S45" s="798"/>
      <c r="T45" s="798"/>
      <c r="U45" s="798"/>
      <c r="V45" s="798"/>
      <c r="W45" s="798"/>
      <c r="X45" s="798"/>
      <c r="Y45" s="798"/>
      <c r="Z45" s="798"/>
      <c r="AA45" s="798"/>
      <c r="AB45" s="798"/>
      <c r="AC45" s="798"/>
      <c r="AD45" s="798"/>
    </row>
    <row r="46" ht="15.75" customHeight="1">
      <c r="A46" s="798"/>
      <c r="B46" s="984">
        <f>IFERROR(__xludf.DUMMYFUNCTION("""COMPUTED_VALUE"""),3.0)</f>
        <v>3</v>
      </c>
      <c r="C46" s="985" t="str">
        <f>IFERROR(__xludf.DUMMYFUNCTION("""COMPUTED_VALUE"""),"Interaksi Manusia-Komputer dan Visualisasi (Human Computer Interaction and Visualisation)")</f>
        <v>Interaksi Manusia-Komputer dan Visualisasi (Human Computer Interaction and Visualisation)</v>
      </c>
      <c r="D46" s="986" t="str">
        <f>IFERROR(__xludf.DUMMYFUNCTION("""COMPUTED_VALUE"""),"Interaksi Manusia-Komputer dan Visualisasi (Human Computer Interaction and Visualisation)")</f>
        <v>Interaksi Manusia-Komputer dan Visualisasi (Human Computer Interaction and Visualisation)</v>
      </c>
      <c r="E46" s="987"/>
      <c r="F46" s="994" t="str">
        <f>IFERROR(__xludf.DUMMYFUNCTION("""COMPUTED_VALUE"""),"Purwarupa")</f>
        <v>Purwarupa</v>
      </c>
      <c r="G46" s="989">
        <f>IFERROR(__xludf.DUMMYFUNCTION("""COMPUTED_VALUE"""),0.0)</f>
        <v>0</v>
      </c>
      <c r="H46" s="990" t="str">
        <f>IFERROR(__xludf.DUMMYFUNCTION("""COMPUTED_VALUE"""),"#DIV/0!")</f>
        <v>#DIV/0!</v>
      </c>
      <c r="I46" s="991" t="str">
        <f>IFERROR(__xludf.DUMMYFUNCTION("""COMPUTED_VALUE"""),"Purwarupa")</f>
        <v>Purwarupa</v>
      </c>
      <c r="J46" s="992" t="str">
        <f>IFERROR(__xludf.DUMMYFUNCTION("""COMPUTED_VALUE"""),"#DIV/0!")</f>
        <v>#DIV/0!</v>
      </c>
      <c r="K46" s="819" t="str">
        <f>IFERROR(__xludf.DUMMYFUNCTION("""COMPUTED_VALUE"""),"HARDWARE PROTOTYPE")</f>
        <v>HARDWARE PROTOTYPE</v>
      </c>
      <c r="L46" s="820"/>
      <c r="M46" s="819" t="str">
        <f>IFERROR(__xludf.DUMMYFUNCTION("""COMPUTED_VALUE"""),"SOFTWARE PROTOTYPE")</f>
        <v>SOFTWARE PROTOTYPE</v>
      </c>
      <c r="N46" s="820"/>
      <c r="O46" s="819" t="str">
        <f>IFERROR(__xludf.DUMMYFUNCTION("""COMPUTED_VALUE"""),"DESAIN PROTOTYPE")</f>
        <v>DESAIN PROTOTYPE</v>
      </c>
      <c r="P46" s="820"/>
      <c r="Q46" s="828"/>
      <c r="R46" s="828"/>
      <c r="S46" s="798"/>
      <c r="T46" s="798"/>
      <c r="U46" s="798"/>
      <c r="V46" s="798"/>
      <c r="W46" s="798"/>
      <c r="X46" s="798"/>
      <c r="Y46" s="798"/>
      <c r="Z46" s="798"/>
      <c r="AA46" s="798"/>
      <c r="AB46" s="798"/>
      <c r="AC46" s="798"/>
      <c r="AD46" s="798"/>
    </row>
    <row r="47" ht="15.75" customHeight="1">
      <c r="A47" s="798"/>
      <c r="B47" s="823"/>
      <c r="C47" s="823"/>
      <c r="D47" s="986" t="str">
        <f>IFERROR(__xludf.DUMMYFUNCTION("""COMPUTED_VALUE"""),"Interaksi Manusia-Komputer dan Visualisasi (Human Computer Interaction and Visualisation)")</f>
        <v>Interaksi Manusia-Komputer dan Visualisasi (Human Computer Interaction and Visualisation)</v>
      </c>
      <c r="E47" s="823"/>
      <c r="F47" s="823"/>
      <c r="G47" s="823"/>
      <c r="H47" s="823"/>
      <c r="I47" s="823"/>
      <c r="J47" s="825"/>
      <c r="K47" s="827" t="str">
        <f>IFERROR(__xludf.DUMMYFUNCTION("""COMPUTED_VALUE"""),"Selesai")</f>
        <v>Selesai</v>
      </c>
      <c r="L47" s="827" t="str">
        <f>IFERROR(__xludf.DUMMYFUNCTION("""COMPUTED_VALUE"""),"Skala Uji Lab")</f>
        <v>Skala Uji Lab</v>
      </c>
      <c r="M47" s="827" t="str">
        <f>IFERROR(__xludf.DUMMYFUNCTION("""COMPUTED_VALUE"""),"Selesai")</f>
        <v>Selesai</v>
      </c>
      <c r="N47" s="827" t="str">
        <f>IFERROR(__xludf.DUMMYFUNCTION("""COMPUTED_VALUE"""),"Skala Uji Lab")</f>
        <v>Skala Uji Lab</v>
      </c>
      <c r="O47" s="827" t="str">
        <f>IFERROR(__xludf.DUMMYFUNCTION("""COMPUTED_VALUE"""),"Selesai")</f>
        <v>Selesai</v>
      </c>
      <c r="P47" s="827" t="str">
        <f>IFERROR(__xludf.DUMMYFUNCTION("""COMPUTED_VALUE"""),"Skala Uji Lab")</f>
        <v>Skala Uji Lab</v>
      </c>
      <c r="Q47" s="828"/>
      <c r="R47" s="828"/>
      <c r="S47" s="798"/>
      <c r="T47" s="798"/>
      <c r="U47" s="798"/>
      <c r="V47" s="798"/>
      <c r="W47" s="798"/>
      <c r="X47" s="798"/>
      <c r="Y47" s="798"/>
      <c r="Z47" s="798"/>
      <c r="AA47" s="798"/>
      <c r="AB47" s="798"/>
      <c r="AC47" s="798"/>
      <c r="AD47" s="798"/>
    </row>
    <row r="48" ht="15.75" customHeight="1">
      <c r="A48" s="798"/>
      <c r="B48" s="823"/>
      <c r="C48" s="823"/>
      <c r="D48" s="986" t="str">
        <f>IFERROR(__xludf.DUMMYFUNCTION("""COMPUTED_VALUE"""),"Interaksi Manusia-Komputer dan Visualisasi (Human Computer Interaction and Visualisation)")</f>
        <v>Interaksi Manusia-Komputer dan Visualisasi (Human Computer Interaction and Visualisation)</v>
      </c>
      <c r="E48" s="400"/>
      <c r="F48" s="400"/>
      <c r="G48" s="400"/>
      <c r="H48" s="400"/>
      <c r="I48" s="400"/>
      <c r="J48" s="825"/>
      <c r="K48" s="830">
        <f>IFERROR(__xludf.DUMMYFUNCTION("""COMPUTED_VALUE"""),0.0)</f>
        <v>0</v>
      </c>
      <c r="L48" s="830">
        <f>IFERROR(__xludf.DUMMYFUNCTION("""COMPUTED_VALUE"""),0.0)</f>
        <v>0</v>
      </c>
      <c r="M48" s="830">
        <f>IFERROR(__xludf.DUMMYFUNCTION("""COMPUTED_VALUE"""),0.0)</f>
        <v>0</v>
      </c>
      <c r="N48" s="830">
        <f>IFERROR(__xludf.DUMMYFUNCTION("""COMPUTED_VALUE"""),0.0)</f>
        <v>0</v>
      </c>
      <c r="O48" s="830">
        <f>IFERROR(__xludf.DUMMYFUNCTION("""COMPUTED_VALUE"""),0.0)</f>
        <v>0</v>
      </c>
      <c r="P48" s="830">
        <f>IFERROR(__xludf.DUMMYFUNCTION("""COMPUTED_VALUE"""),0.0)</f>
        <v>0</v>
      </c>
      <c r="Q48" s="828"/>
      <c r="R48" s="828"/>
      <c r="S48" s="798"/>
      <c r="T48" s="798"/>
      <c r="U48" s="798"/>
      <c r="V48" s="798"/>
      <c r="W48" s="798"/>
      <c r="X48" s="798"/>
      <c r="Y48" s="798"/>
      <c r="Z48" s="798"/>
      <c r="AA48" s="798"/>
      <c r="AB48" s="798"/>
      <c r="AC48" s="798"/>
      <c r="AD48" s="798"/>
    </row>
    <row r="49" ht="15.75" customHeight="1">
      <c r="A49" s="798"/>
      <c r="B49" s="823"/>
      <c r="C49" s="823"/>
      <c r="D49" s="986" t="str">
        <f>IFERROR(__xludf.DUMMYFUNCTION("""COMPUTED_VALUE"""),"Interaksi Manusia-Komputer dan Visualisasi (Human Computer Interaction and Visualisation)")</f>
        <v>Interaksi Manusia-Komputer dan Visualisasi (Human Computer Interaction and Visualisation)</v>
      </c>
      <c r="E49" s="987"/>
      <c r="F49" s="994" t="str">
        <f>IFERROR(__xludf.DUMMYFUNCTION("""COMPUTED_VALUE"""),"Publikasi Internasional")</f>
        <v>Publikasi Internasional</v>
      </c>
      <c r="G49" s="989">
        <f>IFERROR(__xludf.DUMMYFUNCTION("""COMPUTED_VALUE"""),2.0)</f>
        <v>2</v>
      </c>
      <c r="H49" s="990" t="str">
        <f>IFERROR(__xludf.DUMMYFUNCTION("""COMPUTED_VALUE"""),"#DIV/0!")</f>
        <v>#DIV/0!</v>
      </c>
      <c r="I49" s="991" t="str">
        <f>IFERROR(__xludf.DUMMYFUNCTION("""COMPUTED_VALUE"""),"Publikasi Internasional")</f>
        <v>Publikasi Internasional</v>
      </c>
      <c r="J49" s="825"/>
      <c r="K49" s="819" t="str">
        <f>IFERROR(__xludf.DUMMYFUNCTION("""COMPUTED_VALUE"""),"JURNAL")</f>
        <v>JURNAL</v>
      </c>
      <c r="L49" s="820"/>
      <c r="M49" s="837" t="str">
        <f>IFERROR(__xludf.DUMMYFUNCTION("""COMPUTED_VALUE"""),"PHROSIDING")</f>
        <v>PHROSIDING</v>
      </c>
      <c r="N49" s="820"/>
      <c r="O49" s="837" t="str">
        <f>IFERROR(__xludf.DUMMYFUNCTION("""COMPUTED_VALUE"""),"BUKU")</f>
        <v>BUKU</v>
      </c>
      <c r="P49" s="820"/>
      <c r="Q49" s="837" t="str">
        <f>IFERROR(__xludf.DUMMYFUNCTION("""COMPUTED_VALUE"""),"BAGIAN BUKU")</f>
        <v>BAGIAN BUKU</v>
      </c>
      <c r="R49" s="820"/>
      <c r="S49" s="798"/>
      <c r="T49" s="798"/>
      <c r="U49" s="798"/>
      <c r="V49" s="798"/>
      <c r="W49" s="798"/>
      <c r="X49" s="798"/>
      <c r="Y49" s="798"/>
      <c r="Z49" s="798"/>
      <c r="AA49" s="798"/>
      <c r="AB49" s="798"/>
      <c r="AC49" s="798"/>
      <c r="AD49" s="798"/>
    </row>
    <row r="50" ht="15.75" customHeight="1">
      <c r="A50" s="798"/>
      <c r="B50" s="823"/>
      <c r="C50" s="823"/>
      <c r="D50" s="986" t="str">
        <f>IFERROR(__xludf.DUMMYFUNCTION("""COMPUTED_VALUE"""),"Interaksi Manusia-Komputer dan Visualisasi (Human Computer Interaction and Visualisation)")</f>
        <v>Interaksi Manusia-Komputer dan Visualisasi (Human Computer Interaction and Visualisation)</v>
      </c>
      <c r="E50" s="823"/>
      <c r="F50" s="823"/>
      <c r="G50" s="823"/>
      <c r="H50" s="823"/>
      <c r="I50" s="823"/>
      <c r="J50" s="825"/>
      <c r="K50" s="827" t="str">
        <f>IFERROR(__xludf.DUMMYFUNCTION("""COMPUTED_VALUE"""),"Published")</f>
        <v>Published</v>
      </c>
      <c r="L50" s="827" t="str">
        <f>IFERROR(__xludf.DUMMYFUNCTION("""COMPUTED_VALUE"""),"Accepted")</f>
        <v>Accepted</v>
      </c>
      <c r="M50" s="838" t="str">
        <f>IFERROR(__xludf.DUMMYFUNCTION("""COMPUTED_VALUE"""),"Published")</f>
        <v>Published</v>
      </c>
      <c r="N50" s="838" t="str">
        <f>IFERROR(__xludf.DUMMYFUNCTION("""COMPUTED_VALUE"""),"Accepted")</f>
        <v>Accepted</v>
      </c>
      <c r="O50" s="838" t="str">
        <f>IFERROR(__xludf.DUMMYFUNCTION("""COMPUTED_VALUE"""),"Published")</f>
        <v>Published</v>
      </c>
      <c r="P50" s="838" t="str">
        <f>IFERROR(__xludf.DUMMYFUNCTION("""COMPUTED_VALUE"""),"Accepted")</f>
        <v>Accepted</v>
      </c>
      <c r="Q50" s="838" t="str">
        <f>IFERROR(__xludf.DUMMYFUNCTION("""COMPUTED_VALUE"""),"Published")</f>
        <v>Published</v>
      </c>
      <c r="R50" s="838" t="str">
        <f>IFERROR(__xludf.DUMMYFUNCTION("""COMPUTED_VALUE"""),"Accepted")</f>
        <v>Accepted</v>
      </c>
      <c r="S50" s="798"/>
      <c r="T50" s="798"/>
      <c r="U50" s="798"/>
      <c r="V50" s="798"/>
      <c r="W50" s="798"/>
      <c r="X50" s="798"/>
      <c r="Y50" s="798"/>
      <c r="Z50" s="798"/>
      <c r="AA50" s="798"/>
      <c r="AB50" s="798"/>
      <c r="AC50" s="798"/>
      <c r="AD50" s="798"/>
    </row>
    <row r="51" ht="15.75" customHeight="1">
      <c r="A51" s="798"/>
      <c r="B51" s="823"/>
      <c r="C51" s="823"/>
      <c r="D51" s="986" t="str">
        <f>IFERROR(__xludf.DUMMYFUNCTION("""COMPUTED_VALUE"""),"Interaksi Manusia-Komputer dan Visualisasi (Human Computer Interaction and Visualisation)")</f>
        <v>Interaksi Manusia-Komputer dan Visualisasi (Human Computer Interaction and Visualisation)</v>
      </c>
      <c r="E51" s="400"/>
      <c r="F51" s="400"/>
      <c r="G51" s="400"/>
      <c r="H51" s="400"/>
      <c r="I51" s="400"/>
      <c r="J51" s="825"/>
      <c r="K51" s="840">
        <f>IFERROR(__xludf.DUMMYFUNCTION("""COMPUTED_VALUE"""),2.0)</f>
        <v>2</v>
      </c>
      <c r="L51" s="841">
        <f>IFERROR(__xludf.DUMMYFUNCTION("""COMPUTED_VALUE"""),0.0)</f>
        <v>0</v>
      </c>
      <c r="M51" s="840">
        <f>IFERROR(__xludf.DUMMYFUNCTION("""COMPUTED_VALUE"""),0.0)</f>
        <v>0</v>
      </c>
      <c r="N51" s="841">
        <f>IFERROR(__xludf.DUMMYFUNCTION("""COMPUTED_VALUE"""),0.0)</f>
        <v>0</v>
      </c>
      <c r="O51" s="840">
        <f>IFERROR(__xludf.DUMMYFUNCTION("""COMPUTED_VALUE"""),0.0)</f>
        <v>0</v>
      </c>
      <c r="P51" s="841">
        <f>IFERROR(__xludf.DUMMYFUNCTION("""COMPUTED_VALUE"""),0.0)</f>
        <v>0</v>
      </c>
      <c r="Q51" s="840">
        <f>IFERROR(__xludf.DUMMYFUNCTION("""COMPUTED_VALUE"""),0.0)</f>
        <v>0</v>
      </c>
      <c r="R51" s="841">
        <f>IFERROR(__xludf.DUMMYFUNCTION("""COMPUTED_VALUE"""),0.0)</f>
        <v>0</v>
      </c>
      <c r="S51" s="798"/>
      <c r="T51" s="798"/>
      <c r="U51" s="798"/>
      <c r="V51" s="798"/>
      <c r="W51" s="798"/>
      <c r="X51" s="798"/>
      <c r="Y51" s="798"/>
      <c r="Z51" s="798"/>
      <c r="AA51" s="798"/>
      <c r="AB51" s="798"/>
      <c r="AC51" s="798"/>
      <c r="AD51" s="798"/>
    </row>
    <row r="52" ht="15.75" customHeight="1">
      <c r="A52" s="798"/>
      <c r="B52" s="823"/>
      <c r="C52" s="823"/>
      <c r="D52" s="986" t="str">
        <f>IFERROR(__xludf.DUMMYFUNCTION("""COMPUTED_VALUE"""),"Interaksi Manusia-Komputer dan Visualisasi (Human Computer Interaction and Visualisation)")</f>
        <v>Interaksi Manusia-Komputer dan Visualisasi (Human Computer Interaction and Visualisation)</v>
      </c>
      <c r="E52" s="987"/>
      <c r="F52" s="994" t="str">
        <f>IFERROR(__xludf.DUMMYFUNCTION("""COMPUTED_VALUE"""),"Kekayaan Intelektual")</f>
        <v>Kekayaan Intelektual</v>
      </c>
      <c r="G52" s="989">
        <f>IFERROR(__xludf.DUMMYFUNCTION("""COMPUTED_VALUE"""),0.0)</f>
        <v>0</v>
      </c>
      <c r="H52" s="990" t="str">
        <f>IFERROR(__xludf.DUMMYFUNCTION("""COMPUTED_VALUE"""),"#DIV/0!")</f>
        <v>#DIV/0!</v>
      </c>
      <c r="I52" s="991" t="str">
        <f>IFERROR(__xludf.DUMMYFUNCTION("""COMPUTED_VALUE"""),"Kekayaan Intelektual")</f>
        <v>Kekayaan Intelektual</v>
      </c>
      <c r="J52" s="825"/>
      <c r="K52" s="843" t="str">
        <f>IFERROR(__xludf.DUMMYFUNCTION("""COMPUTED_VALUE"""),"PATEN")</f>
        <v>PATEN</v>
      </c>
      <c r="L52" s="829"/>
      <c r="M52" s="843" t="str">
        <f>IFERROR(__xludf.DUMMYFUNCTION("""COMPUTED_VALUE"""),"HAK CIPTA")</f>
        <v>HAK CIPTA</v>
      </c>
      <c r="N52" s="829"/>
      <c r="O52" s="843" t="str">
        <f>IFERROR(__xludf.DUMMYFUNCTION("""COMPUTED_VALUE"""),"DESAIN INDUSTRI")</f>
        <v>DESAIN INDUSTRI</v>
      </c>
      <c r="P52" s="829"/>
      <c r="Q52" s="995"/>
      <c r="S52" s="798"/>
      <c r="T52" s="798"/>
      <c r="U52" s="798"/>
      <c r="V52" s="798"/>
      <c r="W52" s="798"/>
      <c r="X52" s="798"/>
      <c r="Y52" s="798"/>
      <c r="Z52" s="798"/>
      <c r="AA52" s="798"/>
      <c r="AB52" s="798"/>
      <c r="AC52" s="798"/>
      <c r="AD52" s="798"/>
    </row>
    <row r="53" ht="15.75" customHeight="1">
      <c r="A53" s="798"/>
      <c r="B53" s="823"/>
      <c r="C53" s="823"/>
      <c r="D53" s="986" t="str">
        <f>IFERROR(__xludf.DUMMYFUNCTION("""COMPUTED_VALUE"""),"Interaksi Manusia-Komputer dan Visualisasi (Human Computer Interaction and Visualisation)")</f>
        <v>Interaksi Manusia-Komputer dan Visualisasi (Human Computer Interaction and Visualisation)</v>
      </c>
      <c r="E53" s="823"/>
      <c r="F53" s="823"/>
      <c r="G53" s="823"/>
      <c r="H53" s="823"/>
      <c r="I53" s="823"/>
      <c r="J53" s="825"/>
      <c r="K53" s="845" t="str">
        <f>IFERROR(__xludf.DUMMYFUNCTION("""COMPUTED_VALUE"""),"Terdaftar DJKI")</f>
        <v>Terdaftar DJKI</v>
      </c>
      <c r="L53" s="845" t="str">
        <f>IFERROR(__xludf.DUMMYFUNCTION("""COMPUTED_VALUE"""),"Tersertifikasi")</f>
        <v>Tersertifikasi</v>
      </c>
      <c r="M53" s="845" t="str">
        <f>IFERROR(__xludf.DUMMYFUNCTION("""COMPUTED_VALUE"""),"Terdaftar DJKI")</f>
        <v>Terdaftar DJKI</v>
      </c>
      <c r="N53" s="845" t="str">
        <f>IFERROR(__xludf.DUMMYFUNCTION("""COMPUTED_VALUE"""),"Tersertifikasi")</f>
        <v>Tersertifikasi</v>
      </c>
      <c r="O53" s="845" t="str">
        <f>IFERROR(__xludf.DUMMYFUNCTION("""COMPUTED_VALUE"""),"Terdaftar DJKI")</f>
        <v>Terdaftar DJKI</v>
      </c>
      <c r="P53" s="845" t="str">
        <f>IFERROR(__xludf.DUMMYFUNCTION("""COMPUTED_VALUE"""),"Tersertifikasi")</f>
        <v>Tersertifikasi</v>
      </c>
      <c r="Q53" s="842"/>
      <c r="R53" s="842"/>
      <c r="S53" s="798"/>
      <c r="T53" s="798"/>
      <c r="U53" s="798"/>
      <c r="V53" s="798"/>
      <c r="W53" s="798"/>
      <c r="X53" s="798"/>
      <c r="Y53" s="798"/>
      <c r="Z53" s="798"/>
      <c r="AA53" s="798"/>
      <c r="AB53" s="798"/>
      <c r="AC53" s="798"/>
      <c r="AD53" s="798"/>
    </row>
    <row r="54" ht="15.75" customHeight="1">
      <c r="A54" s="798"/>
      <c r="B54" s="823"/>
      <c r="C54" s="823"/>
      <c r="D54" s="986" t="str">
        <f>IFERROR(__xludf.DUMMYFUNCTION("""COMPUTED_VALUE"""),"Interaksi Manusia-Komputer dan Visualisasi (Human Computer Interaction and Visualisation)")</f>
        <v>Interaksi Manusia-Komputer dan Visualisasi (Human Computer Interaction and Visualisation)</v>
      </c>
      <c r="E54" s="400"/>
      <c r="F54" s="400"/>
      <c r="G54" s="400"/>
      <c r="H54" s="400"/>
      <c r="I54" s="400"/>
      <c r="J54" s="825"/>
      <c r="K54" s="830">
        <f>IFERROR(__xludf.DUMMYFUNCTION("""COMPUTED_VALUE"""),0.0)</f>
        <v>0</v>
      </c>
      <c r="L54" s="830">
        <f>IFERROR(__xludf.DUMMYFUNCTION("""COMPUTED_VALUE"""),0.0)</f>
        <v>0</v>
      </c>
      <c r="M54" s="830">
        <f>IFERROR(__xludf.DUMMYFUNCTION("""COMPUTED_VALUE"""),0.0)</f>
        <v>0</v>
      </c>
      <c r="N54" s="830">
        <f>IFERROR(__xludf.DUMMYFUNCTION("""COMPUTED_VALUE"""),0.0)</f>
        <v>0</v>
      </c>
      <c r="O54" s="830">
        <f>IFERROR(__xludf.DUMMYFUNCTION("""COMPUTED_VALUE"""),0.0)</f>
        <v>0</v>
      </c>
      <c r="P54" s="830">
        <f>IFERROR(__xludf.DUMMYFUNCTION("""COMPUTED_VALUE"""),0.0)</f>
        <v>0</v>
      </c>
      <c r="Q54" s="842"/>
      <c r="R54" s="842"/>
      <c r="S54" s="798"/>
      <c r="T54" s="798"/>
      <c r="U54" s="798"/>
      <c r="V54" s="798"/>
      <c r="W54" s="798"/>
      <c r="X54" s="798"/>
      <c r="Y54" s="798"/>
      <c r="Z54" s="798"/>
      <c r="AA54" s="798"/>
      <c r="AB54" s="798"/>
      <c r="AC54" s="798"/>
      <c r="AD54" s="798"/>
    </row>
    <row r="55" ht="15.75" customHeight="1">
      <c r="A55" s="798"/>
      <c r="B55" s="823"/>
      <c r="C55" s="823"/>
      <c r="D55" s="986" t="str">
        <f>IFERROR(__xludf.DUMMYFUNCTION("""COMPUTED_VALUE"""),"Interaksi Manusia-Komputer dan Visualisasi (Human Computer Interaction and Visualisation)")</f>
        <v>Interaksi Manusia-Komputer dan Visualisasi (Human Computer Interaction and Visualisation)</v>
      </c>
      <c r="E55" s="987"/>
      <c r="F55" s="994" t="str">
        <f>IFERROR(__xludf.DUMMYFUNCTION("""COMPUTED_VALUE"""),"SDM Iptek")</f>
        <v>SDM Iptek</v>
      </c>
      <c r="G55" s="989">
        <f>IFERROR(__xludf.DUMMYFUNCTION("""COMPUTED_VALUE"""),0.0)</f>
        <v>0</v>
      </c>
      <c r="H55" s="990" t="str">
        <f>IFERROR(__xludf.DUMMYFUNCTION("""COMPUTED_VALUE"""),"#DIV/0!")</f>
        <v>#DIV/0!</v>
      </c>
      <c r="I55" s="991" t="str">
        <f>IFERROR(__xludf.DUMMYFUNCTION("""COMPUTED_VALUE"""),"SDM Iptek")</f>
        <v>SDM Iptek</v>
      </c>
      <c r="J55" s="825"/>
      <c r="K55" s="849" t="str">
        <f>IFERROR(__xludf.DUMMYFUNCTION("""COMPUTED_VALUE"""),"S2")</f>
        <v>S2</v>
      </c>
      <c r="L55" s="849" t="str">
        <f>IFERROR(__xludf.DUMMYFUNCTION("""COMPUTED_VALUE"""),"S3")</f>
        <v>S3</v>
      </c>
      <c r="M55" s="857" t="str">
        <f>IFERROR(__xludf.DUMMYFUNCTION("""COMPUTED_VALUE"""),"IJIN BELAJAR")</f>
        <v>IJIN BELAJAR</v>
      </c>
      <c r="N55" s="912" t="str">
        <f>IFERROR(__xludf.DUMMYFUNCTION("""COMPUTED_VALUE"""),"TUGAS BELAJAR")</f>
        <v>TUGAS BELAJAR</v>
      </c>
      <c r="O55" s="996"/>
      <c r="P55" s="996"/>
      <c r="Q55" s="996"/>
      <c r="R55" s="996"/>
      <c r="S55" s="798"/>
      <c r="T55" s="798"/>
      <c r="U55" s="798"/>
      <c r="V55" s="798"/>
      <c r="W55" s="798"/>
      <c r="X55" s="798"/>
      <c r="Y55" s="798"/>
      <c r="Z55" s="798"/>
      <c r="AA55" s="798"/>
      <c r="AB55" s="798"/>
      <c r="AC55" s="798"/>
      <c r="AD55" s="798"/>
    </row>
    <row r="56" ht="15.75" customHeight="1">
      <c r="A56" s="798"/>
      <c r="B56" s="823"/>
      <c r="C56" s="823"/>
      <c r="D56" s="986" t="str">
        <f>IFERROR(__xludf.DUMMYFUNCTION("""COMPUTED_VALUE"""),"Interaksi Manusia-Komputer dan Visualisasi (Human Computer Interaction and Visualisation)")</f>
        <v>Interaksi Manusia-Komputer dan Visualisasi (Human Computer Interaction and Visualisation)</v>
      </c>
      <c r="E56" s="400"/>
      <c r="F56" s="400"/>
      <c r="G56" s="400"/>
      <c r="H56" s="400"/>
      <c r="I56" s="400"/>
      <c r="J56" s="825"/>
      <c r="K56" s="830">
        <f>IFERROR(__xludf.DUMMYFUNCTION("""COMPUTED_VALUE"""),0.0)</f>
        <v>0</v>
      </c>
      <c r="L56" s="830">
        <f>IFERROR(__xludf.DUMMYFUNCTION("""COMPUTED_VALUE"""),0.0)</f>
        <v>0</v>
      </c>
      <c r="M56" s="830">
        <f>IFERROR(__xludf.DUMMYFUNCTION("""COMPUTED_VALUE"""),0.0)</f>
        <v>0</v>
      </c>
      <c r="N56" s="830">
        <f>IFERROR(__xludf.DUMMYFUNCTION("""COMPUTED_VALUE"""),0.0)</f>
        <v>0</v>
      </c>
      <c r="O56" s="996"/>
      <c r="P56" s="996"/>
      <c r="Q56" s="996"/>
      <c r="R56" s="996"/>
      <c r="S56" s="798"/>
      <c r="T56" s="798"/>
      <c r="U56" s="798"/>
      <c r="V56" s="798"/>
      <c r="W56" s="798"/>
      <c r="X56" s="798"/>
      <c r="Y56" s="798"/>
      <c r="Z56" s="798"/>
      <c r="AA56" s="798"/>
      <c r="AB56" s="798"/>
      <c r="AC56" s="798"/>
      <c r="AD56" s="798"/>
    </row>
    <row r="57" ht="15.75" customHeight="1">
      <c r="A57" s="798"/>
      <c r="B57" s="823"/>
      <c r="C57" s="823"/>
      <c r="D57" s="986" t="str">
        <f>IFERROR(__xludf.DUMMYFUNCTION("""COMPUTED_VALUE"""),"Interaksi Manusia-Komputer dan Visualisasi (Human Computer Interaction and Visualisation)")</f>
        <v>Interaksi Manusia-Komputer dan Visualisasi (Human Computer Interaction and Visualisation)</v>
      </c>
      <c r="E57" s="987"/>
      <c r="F57" s="994" t="str">
        <f>IFERROR(__xludf.DUMMYFUNCTION("""COMPUTED_VALUE"""),"Peserta Postdoc/Visiting Research")</f>
        <v>Peserta Postdoc/Visiting Research</v>
      </c>
      <c r="G57" s="989">
        <f>IFERROR(__xludf.DUMMYFUNCTION("""COMPUTED_VALUE"""),1.0)</f>
        <v>1</v>
      </c>
      <c r="H57" s="990" t="str">
        <f>IFERROR(__xludf.DUMMYFUNCTION("""COMPUTED_VALUE"""),"#DIV/0!")</f>
        <v>#DIV/0!</v>
      </c>
      <c r="I57" s="991" t="str">
        <f>IFERROR(__xludf.DUMMYFUNCTION("""COMPUTED_VALUE"""),"Peserta Postdoc/Visiting Research")</f>
        <v>Peserta Postdoc/Visiting Research</v>
      </c>
      <c r="J57" s="825"/>
      <c r="K57" s="843" t="str">
        <f>IFERROR(__xludf.DUMMYFUNCTION("""COMPUTED_VALUE"""),"POSTDOCTORAL")</f>
        <v>POSTDOCTORAL</v>
      </c>
      <c r="L57" s="829"/>
      <c r="M57" s="843" t="str">
        <f>IFERROR(__xludf.DUMMYFUNCTION("""COMPUTED_VALUE"""),"VISITING RESEARCH")</f>
        <v>VISITING RESEARCH</v>
      </c>
      <c r="N57" s="829"/>
      <c r="O57" s="860" t="str">
        <f>IFERROR(__xludf.DUMMYFUNCTION("""COMPUTED_VALUE"""),"PUBLIKASI")</f>
        <v>PUBLIKASI</v>
      </c>
      <c r="P57" s="820"/>
      <c r="Q57" s="996"/>
      <c r="R57" s="996"/>
      <c r="S57" s="798"/>
      <c r="T57" s="798"/>
      <c r="U57" s="798"/>
      <c r="V57" s="798"/>
      <c r="W57" s="798"/>
      <c r="X57" s="798"/>
      <c r="Y57" s="798"/>
      <c r="Z57" s="798"/>
      <c r="AA57" s="798"/>
      <c r="AB57" s="798"/>
      <c r="AC57" s="798"/>
      <c r="AD57" s="798"/>
    </row>
    <row r="58" ht="15.75" customHeight="1">
      <c r="A58" s="798"/>
      <c r="B58" s="823"/>
      <c r="C58" s="823"/>
      <c r="D58" s="986" t="str">
        <f>IFERROR(__xludf.DUMMYFUNCTION("""COMPUTED_VALUE"""),"Interaksi Manusia-Komputer dan Visualisasi (Human Computer Interaction and Visualisation)")</f>
        <v>Interaksi Manusia-Komputer dan Visualisasi (Human Computer Interaction and Visualisation)</v>
      </c>
      <c r="E58" s="823"/>
      <c r="F58" s="823"/>
      <c r="G58" s="823"/>
      <c r="H58" s="823"/>
      <c r="I58" s="823"/>
      <c r="J58" s="825"/>
      <c r="K58" s="827" t="str">
        <f>IFERROR(__xludf.DUMMYFUNCTION("""COMPUTED_VALUE"""),"Dalam Negeri")</f>
        <v>Dalam Negeri</v>
      </c>
      <c r="L58" s="827" t="str">
        <f>IFERROR(__xludf.DUMMYFUNCTION("""COMPUTED_VALUE"""),"Luar Negeri")</f>
        <v>Luar Negeri</v>
      </c>
      <c r="M58" s="827" t="str">
        <f>IFERROR(__xludf.DUMMYFUNCTION("""COMPUTED_VALUE"""),"Dalam Negeri")</f>
        <v>Dalam Negeri</v>
      </c>
      <c r="N58" s="827" t="str">
        <f>IFERROR(__xludf.DUMMYFUNCTION("""COMPUTED_VALUE"""),"Luar Negeri")</f>
        <v>Luar Negeri</v>
      </c>
      <c r="O58" s="1009" t="str">
        <f>IFERROR(__xludf.DUMMYFUNCTION("""COMPUTED_VALUE"""),"Dalam Negeri")</f>
        <v>Dalam Negeri</v>
      </c>
      <c r="P58" s="1009" t="str">
        <f>IFERROR(__xludf.DUMMYFUNCTION("""COMPUTED_VALUE"""),"Luar Negeri")</f>
        <v>Luar Negeri</v>
      </c>
      <c r="Q58" s="996"/>
      <c r="R58" s="996"/>
      <c r="S58" s="798"/>
      <c r="T58" s="798"/>
      <c r="U58" s="798"/>
      <c r="V58" s="798"/>
      <c r="W58" s="798"/>
      <c r="X58" s="798"/>
      <c r="Y58" s="798"/>
      <c r="Z58" s="798"/>
      <c r="AA58" s="798"/>
      <c r="AB58" s="798"/>
      <c r="AC58" s="798"/>
      <c r="AD58" s="798"/>
    </row>
    <row r="59" ht="15.75" customHeight="1">
      <c r="A59" s="798"/>
      <c r="B59" s="823"/>
      <c r="C59" s="823"/>
      <c r="D59" s="986" t="str">
        <f>IFERROR(__xludf.DUMMYFUNCTION("""COMPUTED_VALUE"""),"Interaksi Manusia-Komputer dan Visualisasi (Human Computer Interaction and Visualisation)")</f>
        <v>Interaksi Manusia-Komputer dan Visualisasi (Human Computer Interaction and Visualisation)</v>
      </c>
      <c r="E59" s="400"/>
      <c r="F59" s="400"/>
      <c r="G59" s="400"/>
      <c r="H59" s="400"/>
      <c r="I59" s="400"/>
      <c r="J59" s="825"/>
      <c r="K59" s="916">
        <f>IFERROR(__xludf.DUMMYFUNCTION("""COMPUTED_VALUE"""),0.0)</f>
        <v>0</v>
      </c>
      <c r="L59" s="916">
        <f>IFERROR(__xludf.DUMMYFUNCTION("""COMPUTED_VALUE"""),0.0)</f>
        <v>0</v>
      </c>
      <c r="M59" s="916">
        <f>IFERROR(__xludf.DUMMYFUNCTION("""COMPUTED_VALUE"""),0.0)</f>
        <v>0</v>
      </c>
      <c r="N59" s="916">
        <f>IFERROR(__xludf.DUMMYFUNCTION("""COMPUTED_VALUE"""),1.0)</f>
        <v>1</v>
      </c>
      <c r="O59" s="916">
        <f>IFERROR(__xludf.DUMMYFUNCTION("""COMPUTED_VALUE"""),0.0)</f>
        <v>0</v>
      </c>
      <c r="P59" s="916">
        <f>IFERROR(__xludf.DUMMYFUNCTION("""COMPUTED_VALUE"""),0.0)</f>
        <v>0</v>
      </c>
      <c r="Q59" s="996"/>
      <c r="R59" s="996"/>
      <c r="S59" s="798"/>
      <c r="T59" s="798"/>
      <c r="U59" s="798"/>
      <c r="V59" s="798"/>
      <c r="W59" s="798"/>
      <c r="X59" s="798"/>
      <c r="Y59" s="798"/>
      <c r="Z59" s="798"/>
      <c r="AA59" s="798"/>
      <c r="AB59" s="798"/>
      <c r="AC59" s="798"/>
      <c r="AD59" s="798"/>
    </row>
    <row r="60" ht="15.75" customHeight="1">
      <c r="A60" s="798"/>
      <c r="B60" s="823"/>
      <c r="C60" s="823"/>
      <c r="D60" s="986" t="str">
        <f>IFERROR(__xludf.DUMMYFUNCTION("""COMPUTED_VALUE"""),"Interaksi Manusia-Komputer dan Visualisasi (Human Computer Interaction and Visualisation)")</f>
        <v>Interaksi Manusia-Komputer dan Visualisasi (Human Computer Interaction and Visualisation)</v>
      </c>
      <c r="E60" s="997"/>
      <c r="F60" s="998" t="str">
        <f>IFERROR(__xludf.DUMMYFUNCTION("""COMPUTED_VALUE"""),"Kerjasama")</f>
        <v>Kerjasama</v>
      </c>
      <c r="G60" s="989">
        <f>IFERROR(__xludf.DUMMYFUNCTION("""COMPUTED_VALUE"""),4.0)</f>
        <v>4</v>
      </c>
      <c r="H60" s="990" t="str">
        <f>IFERROR(__xludf.DUMMYFUNCTION("""COMPUTED_VALUE"""),"#DIV/0!")</f>
        <v>#DIV/0!</v>
      </c>
      <c r="I60" s="991" t="str">
        <f>IFERROR(__xludf.DUMMYFUNCTION("""COMPUTED_VALUE"""),"Kerjasama")</f>
        <v>Kerjasama</v>
      </c>
      <c r="J60" s="825"/>
      <c r="K60" s="849" t="str">
        <f>IFERROR(__xludf.DUMMYFUNCTION("""COMPUTED_VALUE"""),"PNBP")</f>
        <v>PNBP</v>
      </c>
      <c r="L60" s="849" t="str">
        <f>IFERROR(__xludf.DUMMYFUNCTION("""COMPUTED_VALUE"""),"HIBAH")</f>
        <v>HIBAH</v>
      </c>
      <c r="M60" s="849" t="str">
        <f>IFERROR(__xludf.DUMMYFUNCTION("""COMPUTED_VALUE"""),"MITRA/UNV")</f>
        <v>MITRA/UNV</v>
      </c>
      <c r="N60" s="849" t="str">
        <f>IFERROR(__xludf.DUMMYFUNCTION("""COMPUTED_VALUE"""),"POSTDOC")</f>
        <v>POSTDOC</v>
      </c>
      <c r="O60" s="849" t="str">
        <f>IFERROR(__xludf.DUMMYFUNCTION("""COMPUTED_VALUE"""),"VISITING RSRCH")</f>
        <v>VISITING RSRCH</v>
      </c>
      <c r="P60" s="850" t="str">
        <f>IFERROR(__xludf.DUMMYFUNCTION("""COMPUTED_VALUE"""),"RIMM")</f>
        <v>RIMM</v>
      </c>
      <c r="Q60" s="849" t="str">
        <f>IFERROR(__xludf.DUMMYFUNCTION("""COMPUTED_VALUE"""),"LISENSI")</f>
        <v>LISENSI</v>
      </c>
      <c r="R60" s="851" t="str">
        <f>IFERROR(__xludf.DUMMYFUNCTION("""COMPUTED_VALUE"""),"DALAM NEGERI")</f>
        <v>DALAM NEGERI</v>
      </c>
      <c r="S60" s="851" t="str">
        <f>IFERROR(__xludf.DUMMYFUNCTION("""COMPUTED_VALUE"""),"LUAR NEGERI")</f>
        <v>LUAR NEGERI</v>
      </c>
      <c r="T60" s="798"/>
      <c r="U60" s="798"/>
      <c r="V60" s="798"/>
      <c r="W60" s="798"/>
      <c r="X60" s="798"/>
      <c r="Y60" s="798"/>
      <c r="Z60" s="798"/>
      <c r="AA60" s="798"/>
      <c r="AB60" s="798"/>
      <c r="AC60" s="798"/>
      <c r="AD60" s="798"/>
    </row>
    <row r="61" ht="15.75" customHeight="1">
      <c r="A61" s="798"/>
      <c r="B61" s="823"/>
      <c r="C61" s="823"/>
      <c r="D61" s="986" t="str">
        <f>IFERROR(__xludf.DUMMYFUNCTION("""COMPUTED_VALUE"""),"Interaksi Manusia-Komputer dan Visualisasi (Human Computer Interaction and Visualisation)")</f>
        <v>Interaksi Manusia-Komputer dan Visualisasi (Human Computer Interaction and Visualisation)</v>
      </c>
      <c r="E61" s="400"/>
      <c r="F61" s="400"/>
      <c r="G61" s="400"/>
      <c r="H61" s="400"/>
      <c r="I61" s="400"/>
      <c r="J61" s="825"/>
      <c r="K61" s="830">
        <f>IFERROR(__xludf.DUMMYFUNCTION("""COMPUTED_VALUE"""),0.0)</f>
        <v>0</v>
      </c>
      <c r="L61" s="830">
        <f>IFERROR(__xludf.DUMMYFUNCTION("""COMPUTED_VALUE"""),0.0)</f>
        <v>0</v>
      </c>
      <c r="M61" s="830">
        <f>IFERROR(__xludf.DUMMYFUNCTION("""COMPUTED_VALUE"""),0.0)</f>
        <v>0</v>
      </c>
      <c r="N61" s="830">
        <f>IFERROR(__xludf.DUMMYFUNCTION("""COMPUTED_VALUE"""),0.0)</f>
        <v>0</v>
      </c>
      <c r="O61" s="830">
        <f>IFERROR(__xludf.DUMMYFUNCTION("""COMPUTED_VALUE"""),0.0)</f>
        <v>0</v>
      </c>
      <c r="P61" s="996">
        <f>IFERROR(__xludf.DUMMYFUNCTION("""COMPUTED_VALUE"""),0.0)</f>
        <v>0</v>
      </c>
      <c r="Q61" s="830">
        <f>IFERROR(__xludf.DUMMYFUNCTION("""COMPUTED_VALUE"""),0.0)</f>
        <v>0</v>
      </c>
      <c r="R61" s="830">
        <f>IFERROR(__xludf.DUMMYFUNCTION("""COMPUTED_VALUE"""),4.0)</f>
        <v>4</v>
      </c>
      <c r="S61" s="830">
        <f>IFERROR(__xludf.DUMMYFUNCTION("""COMPUTED_VALUE"""),0.0)</f>
        <v>0</v>
      </c>
      <c r="T61" s="798"/>
      <c r="U61" s="798"/>
      <c r="V61" s="798"/>
      <c r="W61" s="798"/>
      <c r="X61" s="798"/>
      <c r="Y61" s="798"/>
      <c r="Z61" s="798"/>
      <c r="AA61" s="798"/>
      <c r="AB61" s="798"/>
      <c r="AC61" s="798"/>
      <c r="AD61" s="798"/>
    </row>
    <row r="62" ht="15.75" customHeight="1">
      <c r="A62" s="798"/>
      <c r="B62" s="823"/>
      <c r="C62" s="823"/>
      <c r="D62" s="986" t="str">
        <f>IFERROR(__xludf.DUMMYFUNCTION("""COMPUTED_VALUE"""),"Interaksi Manusia-Komputer dan Visualisasi (Human Computer Interaction and Visualisation)")</f>
        <v>Interaksi Manusia-Komputer dan Visualisasi (Human Computer Interaction and Visualisation)</v>
      </c>
      <c r="E62" s="997"/>
      <c r="F62" s="998" t="str">
        <f>IFERROR(__xludf.DUMMYFUNCTION("""COMPUTED_VALUE"""),"Dana Eksternal")</f>
        <v>Dana Eksternal</v>
      </c>
      <c r="G62" s="999">
        <f>IFERROR(__xludf.DUMMYFUNCTION("""COMPUTED_VALUE"""),1.559E8)</f>
        <v>155900000</v>
      </c>
      <c r="H62" s="990" t="str">
        <f>IFERROR(__xludf.DUMMYFUNCTION("""COMPUTED_VALUE"""),"#DIV/0!")</f>
        <v>#DIV/0!</v>
      </c>
      <c r="I62" s="991" t="str">
        <f>IFERROR(__xludf.DUMMYFUNCTION("""COMPUTED_VALUE"""),"Dana Eksternal")</f>
        <v>Dana Eksternal</v>
      </c>
      <c r="J62" s="825"/>
      <c r="K62" s="849" t="str">
        <f>IFERROR(__xludf.DUMMYFUNCTION("""COMPUTED_VALUE"""),"PNBP")</f>
        <v>PNBP</v>
      </c>
      <c r="L62" s="849" t="str">
        <f>IFERROR(__xludf.DUMMYFUNCTION("""COMPUTED_VALUE"""),"HIBAH")</f>
        <v>HIBAH</v>
      </c>
      <c r="M62" s="849" t="str">
        <f>IFERROR(__xludf.DUMMYFUNCTION("""COMPUTED_VALUE"""),"MITRA/UNV")</f>
        <v>MITRA/UNV</v>
      </c>
      <c r="N62" s="849" t="str">
        <f>IFERROR(__xludf.DUMMYFUNCTION("""COMPUTED_VALUE"""),"POSTDOC")</f>
        <v>POSTDOC</v>
      </c>
      <c r="O62" s="849" t="str">
        <f>IFERROR(__xludf.DUMMYFUNCTION("""COMPUTED_VALUE"""),"VISITING RSRCH")</f>
        <v>VISITING RSRCH</v>
      </c>
      <c r="P62" s="850" t="str">
        <f>IFERROR(__xludf.DUMMYFUNCTION("""COMPUTED_VALUE"""),"RIMM")</f>
        <v>RIMM</v>
      </c>
      <c r="Q62" s="850" t="str">
        <f>IFERROR(__xludf.DUMMYFUNCTION("""COMPUTED_VALUE"""),"LISENSI")</f>
        <v>LISENSI</v>
      </c>
      <c r="R62" s="851" t="str">
        <f>IFERROR(__xludf.DUMMYFUNCTION("""COMPUTED_VALUE"""),"DALAM NEGERI")</f>
        <v>DALAM NEGERI</v>
      </c>
      <c r="S62" s="851" t="str">
        <f>IFERROR(__xludf.DUMMYFUNCTION("""COMPUTED_VALUE"""),"LUAR NEGERI")</f>
        <v>LUAR NEGERI</v>
      </c>
      <c r="T62" s="852" t="str">
        <f>IFERROR(__xludf.DUMMYFUNCTION("""COMPUTED_VALUE"""),"IN CASH")</f>
        <v>IN CASH</v>
      </c>
      <c r="U62" s="852" t="str">
        <f>IFERROR(__xludf.DUMMYFUNCTION("""COMPUTED_VALUE"""),"IN KIND")</f>
        <v>IN KIND</v>
      </c>
      <c r="V62" s="798"/>
      <c r="W62" s="798"/>
      <c r="X62" s="798"/>
      <c r="Y62" s="798"/>
      <c r="Z62" s="798"/>
      <c r="AA62" s="798"/>
      <c r="AB62" s="798"/>
      <c r="AC62" s="798"/>
      <c r="AD62" s="798"/>
    </row>
    <row r="63" ht="15.75" customHeight="1">
      <c r="A63" s="798"/>
      <c r="B63" s="400"/>
      <c r="C63" s="400"/>
      <c r="D63" s="986" t="str">
        <f>IFERROR(__xludf.DUMMYFUNCTION("""COMPUTED_VALUE"""),"Interaksi Manusia-Komputer dan Visualisasi (Human Computer Interaction and Visualisation)")</f>
        <v>Interaksi Manusia-Komputer dan Visualisasi (Human Computer Interaction and Visualisation)</v>
      </c>
      <c r="E63" s="400"/>
      <c r="F63" s="400"/>
      <c r="G63" s="400"/>
      <c r="H63" s="400"/>
      <c r="I63" s="400"/>
      <c r="J63" s="829"/>
      <c r="K63" s="853">
        <f>IFERROR(__xludf.DUMMYFUNCTION("""COMPUTED_VALUE"""),0.0)</f>
        <v>0</v>
      </c>
      <c r="L63" s="853">
        <f>IFERROR(__xludf.DUMMYFUNCTION("""COMPUTED_VALUE"""),0.0)</f>
        <v>0</v>
      </c>
      <c r="M63" s="853">
        <f>IFERROR(__xludf.DUMMYFUNCTION("""COMPUTED_VALUE"""),2.9E7)</f>
        <v>29000000</v>
      </c>
      <c r="N63" s="853">
        <f>IFERROR(__xludf.DUMMYFUNCTION("""COMPUTED_VALUE"""),0.0)</f>
        <v>0</v>
      </c>
      <c r="O63" s="853">
        <f>IFERROR(__xludf.DUMMYFUNCTION("""COMPUTED_VALUE"""),0.0)</f>
        <v>0</v>
      </c>
      <c r="P63" s="853">
        <f>IFERROR(__xludf.DUMMYFUNCTION("""COMPUTED_VALUE"""),9.0E7)</f>
        <v>90000000</v>
      </c>
      <c r="Q63" s="853">
        <f>IFERROR(__xludf.DUMMYFUNCTION("""COMPUTED_VALUE"""),0.0)</f>
        <v>0</v>
      </c>
      <c r="R63" s="853">
        <f>IFERROR(__xludf.DUMMYFUNCTION("""COMPUTED_VALUE"""),1.19E8)</f>
        <v>119000000</v>
      </c>
      <c r="S63" s="853">
        <f>IFERROR(__xludf.DUMMYFUNCTION("""COMPUTED_VALUE"""),3.69E7)</f>
        <v>36900000</v>
      </c>
      <c r="T63" s="853">
        <f>IFERROR(__xludf.DUMMYFUNCTION("""COMPUTED_VALUE"""),9.0E7)</f>
        <v>90000000</v>
      </c>
      <c r="U63" s="853">
        <f>IFERROR(__xludf.DUMMYFUNCTION("""COMPUTED_VALUE"""),2.9E7)</f>
        <v>29000000</v>
      </c>
      <c r="V63" s="798"/>
      <c r="W63" s="798"/>
      <c r="X63" s="798"/>
      <c r="Y63" s="798"/>
      <c r="Z63" s="798"/>
      <c r="AA63" s="798"/>
      <c r="AB63" s="798"/>
      <c r="AC63" s="798"/>
      <c r="AD63" s="798"/>
    </row>
    <row r="64" ht="15.75" customHeight="1">
      <c r="A64" s="798"/>
      <c r="B64" s="798"/>
      <c r="C64" s="993"/>
      <c r="D64" s="1010"/>
      <c r="E64" s="798"/>
      <c r="F64" s="1004"/>
      <c r="G64" s="798"/>
      <c r="H64" s="798"/>
      <c r="I64" s="798"/>
      <c r="J64" s="798"/>
      <c r="K64" s="798"/>
      <c r="L64" s="798"/>
      <c r="M64" s="798"/>
      <c r="N64" s="798"/>
      <c r="O64" s="798"/>
      <c r="P64" s="798"/>
      <c r="Q64" s="798"/>
      <c r="R64" s="798"/>
      <c r="S64" s="798"/>
      <c r="T64" s="798"/>
      <c r="U64" s="798"/>
      <c r="V64" s="798"/>
      <c r="W64" s="798"/>
      <c r="X64" s="798"/>
      <c r="Y64" s="798"/>
      <c r="Z64" s="798"/>
      <c r="AA64" s="798"/>
      <c r="AB64" s="798"/>
      <c r="AC64" s="798"/>
      <c r="AD64" s="798"/>
    </row>
    <row r="65" ht="15.75" customHeight="1">
      <c r="A65" s="798"/>
      <c r="B65" s="984">
        <f>IFERROR(__xludf.DUMMYFUNCTION("""COMPUTED_VALUE"""),4.0)</f>
        <v>4</v>
      </c>
      <c r="C65" s="985" t="str">
        <f>IFERROR(__xludf.DUMMYFUNCTION("""COMPUTED_VALUE"""),"Pengolahan Bahasa Alami (Natural Language Processing)")</f>
        <v>Pengolahan Bahasa Alami (Natural Language Processing)</v>
      </c>
      <c r="D65" s="986" t="str">
        <f>IFERROR(__xludf.DUMMYFUNCTION("""COMPUTED_VALUE"""),"Pengolahan Bahasa Alami (Natural Language Processing)")</f>
        <v>Pengolahan Bahasa Alami (Natural Language Processing)</v>
      </c>
      <c r="E65" s="987"/>
      <c r="F65" s="994" t="str">
        <f>IFERROR(__xludf.DUMMYFUNCTION("""COMPUTED_VALUE"""),"Purwarupa")</f>
        <v>Purwarupa</v>
      </c>
      <c r="G65" s="989">
        <f>IFERROR(__xludf.DUMMYFUNCTION("""COMPUTED_VALUE"""),0.0)</f>
        <v>0</v>
      </c>
      <c r="H65" s="990" t="str">
        <f>IFERROR(__xludf.DUMMYFUNCTION("""COMPUTED_VALUE"""),"#DIV/0!")</f>
        <v>#DIV/0!</v>
      </c>
      <c r="I65" s="991" t="str">
        <f>IFERROR(__xludf.DUMMYFUNCTION("""COMPUTED_VALUE"""),"Purwarupa")</f>
        <v>Purwarupa</v>
      </c>
      <c r="J65" s="992" t="str">
        <f>IFERROR(__xludf.DUMMYFUNCTION("""COMPUTED_VALUE"""),"#DIV/0!")</f>
        <v>#DIV/0!</v>
      </c>
      <c r="K65" s="819" t="str">
        <f>IFERROR(__xludf.DUMMYFUNCTION("""COMPUTED_VALUE"""),"HARDWARE PROTOTYPE")</f>
        <v>HARDWARE PROTOTYPE</v>
      </c>
      <c r="L65" s="820"/>
      <c r="M65" s="819" t="str">
        <f>IFERROR(__xludf.DUMMYFUNCTION("""COMPUTED_VALUE"""),"SOFTWARE PROTOTYPE")</f>
        <v>SOFTWARE PROTOTYPE</v>
      </c>
      <c r="N65" s="820"/>
      <c r="O65" s="819" t="str">
        <f>IFERROR(__xludf.DUMMYFUNCTION("""COMPUTED_VALUE"""),"DESAIN PROTOTYPE")</f>
        <v>DESAIN PROTOTYPE</v>
      </c>
      <c r="P65" s="820"/>
      <c r="Q65" s="828"/>
      <c r="R65" s="828"/>
      <c r="S65" s="798"/>
      <c r="T65" s="798"/>
      <c r="U65" s="798"/>
      <c r="V65" s="798"/>
      <c r="W65" s="798"/>
      <c r="X65" s="798"/>
      <c r="Y65" s="798"/>
      <c r="Z65" s="798"/>
      <c r="AA65" s="798"/>
      <c r="AB65" s="798"/>
      <c r="AC65" s="798"/>
      <c r="AD65" s="798"/>
    </row>
    <row r="66" ht="15.75" customHeight="1">
      <c r="A66" s="798"/>
      <c r="B66" s="823"/>
      <c r="C66" s="823"/>
      <c r="D66" s="986" t="str">
        <f>IFERROR(__xludf.DUMMYFUNCTION("""COMPUTED_VALUE"""),"Pengolahan Bahasa Alami (Natural Language Processing)")</f>
        <v>Pengolahan Bahasa Alami (Natural Language Processing)</v>
      </c>
      <c r="E66" s="823"/>
      <c r="F66" s="823"/>
      <c r="G66" s="823"/>
      <c r="H66" s="823"/>
      <c r="I66" s="823"/>
      <c r="J66" s="825"/>
      <c r="K66" s="827" t="str">
        <f>IFERROR(__xludf.DUMMYFUNCTION("""COMPUTED_VALUE"""),"Selesai")</f>
        <v>Selesai</v>
      </c>
      <c r="L66" s="827" t="str">
        <f>IFERROR(__xludf.DUMMYFUNCTION("""COMPUTED_VALUE"""),"Skala Uji Lab")</f>
        <v>Skala Uji Lab</v>
      </c>
      <c r="M66" s="827" t="str">
        <f>IFERROR(__xludf.DUMMYFUNCTION("""COMPUTED_VALUE"""),"Selesai")</f>
        <v>Selesai</v>
      </c>
      <c r="N66" s="827" t="str">
        <f>IFERROR(__xludf.DUMMYFUNCTION("""COMPUTED_VALUE"""),"Skala Uji Lab")</f>
        <v>Skala Uji Lab</v>
      </c>
      <c r="O66" s="827" t="str">
        <f>IFERROR(__xludf.DUMMYFUNCTION("""COMPUTED_VALUE"""),"Selesai")</f>
        <v>Selesai</v>
      </c>
      <c r="P66" s="827" t="str">
        <f>IFERROR(__xludf.DUMMYFUNCTION("""COMPUTED_VALUE"""),"Skala Uji Lab")</f>
        <v>Skala Uji Lab</v>
      </c>
      <c r="Q66" s="828"/>
      <c r="R66" s="828"/>
      <c r="S66" s="798"/>
      <c r="T66" s="798"/>
      <c r="U66" s="798"/>
      <c r="V66" s="798"/>
      <c r="W66" s="798"/>
      <c r="X66" s="798"/>
      <c r="Y66" s="798"/>
      <c r="Z66" s="798"/>
      <c r="AA66" s="798"/>
      <c r="AB66" s="798"/>
      <c r="AC66" s="798"/>
      <c r="AD66" s="798"/>
    </row>
    <row r="67" ht="15.75" customHeight="1">
      <c r="A67" s="798"/>
      <c r="B67" s="823"/>
      <c r="C67" s="823"/>
      <c r="D67" s="986" t="str">
        <f>IFERROR(__xludf.DUMMYFUNCTION("""COMPUTED_VALUE"""),"Pengolahan Bahasa Alami (Natural Language Processing)")</f>
        <v>Pengolahan Bahasa Alami (Natural Language Processing)</v>
      </c>
      <c r="E67" s="400"/>
      <c r="F67" s="400"/>
      <c r="G67" s="400"/>
      <c r="H67" s="400"/>
      <c r="I67" s="400"/>
      <c r="J67" s="825"/>
      <c r="K67" s="830">
        <f>IFERROR(__xludf.DUMMYFUNCTION("""COMPUTED_VALUE"""),0.0)</f>
        <v>0</v>
      </c>
      <c r="L67" s="830">
        <f>IFERROR(__xludf.DUMMYFUNCTION("""COMPUTED_VALUE"""),0.0)</f>
        <v>0</v>
      </c>
      <c r="M67" s="830">
        <f>IFERROR(__xludf.DUMMYFUNCTION("""COMPUTED_VALUE"""),0.0)</f>
        <v>0</v>
      </c>
      <c r="N67" s="830">
        <f>IFERROR(__xludf.DUMMYFUNCTION("""COMPUTED_VALUE"""),0.0)</f>
        <v>0</v>
      </c>
      <c r="O67" s="830">
        <f>IFERROR(__xludf.DUMMYFUNCTION("""COMPUTED_VALUE"""),0.0)</f>
        <v>0</v>
      </c>
      <c r="P67" s="830">
        <f>IFERROR(__xludf.DUMMYFUNCTION("""COMPUTED_VALUE"""),0.0)</f>
        <v>0</v>
      </c>
      <c r="Q67" s="828"/>
      <c r="R67" s="828"/>
      <c r="S67" s="798"/>
      <c r="T67" s="798"/>
      <c r="U67" s="798"/>
      <c r="V67" s="798"/>
      <c r="W67" s="798"/>
      <c r="X67" s="798"/>
      <c r="Y67" s="798"/>
      <c r="Z67" s="798"/>
      <c r="AA67" s="798"/>
      <c r="AB67" s="798"/>
      <c r="AC67" s="798"/>
      <c r="AD67" s="798"/>
    </row>
    <row r="68" ht="15.75" customHeight="1">
      <c r="A68" s="798"/>
      <c r="B68" s="823"/>
      <c r="C68" s="823"/>
      <c r="D68" s="986" t="str">
        <f>IFERROR(__xludf.DUMMYFUNCTION("""COMPUTED_VALUE"""),"Pengolahan Bahasa Alami (Natural Language Processing)")</f>
        <v>Pengolahan Bahasa Alami (Natural Language Processing)</v>
      </c>
      <c r="E68" s="987"/>
      <c r="F68" s="994" t="str">
        <f>IFERROR(__xludf.DUMMYFUNCTION("""COMPUTED_VALUE"""),"Publikasi Internasional")</f>
        <v>Publikasi Internasional</v>
      </c>
      <c r="G68" s="989">
        <f>IFERROR(__xludf.DUMMYFUNCTION("""COMPUTED_VALUE"""),7.0)</f>
        <v>7</v>
      </c>
      <c r="H68" s="990" t="str">
        <f>IFERROR(__xludf.DUMMYFUNCTION("""COMPUTED_VALUE"""),"#DIV/0!")</f>
        <v>#DIV/0!</v>
      </c>
      <c r="I68" s="991" t="str">
        <f>IFERROR(__xludf.DUMMYFUNCTION("""COMPUTED_VALUE"""),"Publikasi Internasional")</f>
        <v>Publikasi Internasional</v>
      </c>
      <c r="J68" s="825"/>
      <c r="K68" s="819" t="str">
        <f>IFERROR(__xludf.DUMMYFUNCTION("""COMPUTED_VALUE"""),"JURNAL")</f>
        <v>JURNAL</v>
      </c>
      <c r="L68" s="820"/>
      <c r="M68" s="837" t="str">
        <f>IFERROR(__xludf.DUMMYFUNCTION("""COMPUTED_VALUE"""),"PHROSIDING")</f>
        <v>PHROSIDING</v>
      </c>
      <c r="N68" s="820"/>
      <c r="O68" s="837" t="str">
        <f>IFERROR(__xludf.DUMMYFUNCTION("""COMPUTED_VALUE"""),"BUKU")</f>
        <v>BUKU</v>
      </c>
      <c r="P68" s="820"/>
      <c r="Q68" s="837" t="str">
        <f>IFERROR(__xludf.DUMMYFUNCTION("""COMPUTED_VALUE"""),"BAGIAN BUKU")</f>
        <v>BAGIAN BUKU</v>
      </c>
      <c r="R68" s="820"/>
      <c r="S68" s="798"/>
      <c r="T68" s="798"/>
      <c r="U68" s="798"/>
      <c r="V68" s="798"/>
      <c r="W68" s="798"/>
      <c r="X68" s="798"/>
      <c r="Y68" s="798"/>
      <c r="Z68" s="798"/>
      <c r="AA68" s="798"/>
      <c r="AB68" s="798"/>
      <c r="AC68" s="798"/>
      <c r="AD68" s="798"/>
    </row>
    <row r="69" ht="15.75" customHeight="1">
      <c r="A69" s="798"/>
      <c r="B69" s="823"/>
      <c r="C69" s="823"/>
      <c r="D69" s="986" t="str">
        <f>IFERROR(__xludf.DUMMYFUNCTION("""COMPUTED_VALUE"""),"Pengolahan Bahasa Alami (Natural Language Processing)")</f>
        <v>Pengolahan Bahasa Alami (Natural Language Processing)</v>
      </c>
      <c r="E69" s="823"/>
      <c r="F69" s="823"/>
      <c r="G69" s="823"/>
      <c r="H69" s="823"/>
      <c r="I69" s="823"/>
      <c r="J69" s="825"/>
      <c r="K69" s="827" t="str">
        <f>IFERROR(__xludf.DUMMYFUNCTION("""COMPUTED_VALUE"""),"Published")</f>
        <v>Published</v>
      </c>
      <c r="L69" s="827" t="str">
        <f>IFERROR(__xludf.DUMMYFUNCTION("""COMPUTED_VALUE"""),"Accepted")</f>
        <v>Accepted</v>
      </c>
      <c r="M69" s="838" t="str">
        <f>IFERROR(__xludf.DUMMYFUNCTION("""COMPUTED_VALUE"""),"Published")</f>
        <v>Published</v>
      </c>
      <c r="N69" s="838" t="str">
        <f>IFERROR(__xludf.DUMMYFUNCTION("""COMPUTED_VALUE"""),"Accepted")</f>
        <v>Accepted</v>
      </c>
      <c r="O69" s="838" t="str">
        <f>IFERROR(__xludf.DUMMYFUNCTION("""COMPUTED_VALUE"""),"Published")</f>
        <v>Published</v>
      </c>
      <c r="P69" s="838" t="str">
        <f>IFERROR(__xludf.DUMMYFUNCTION("""COMPUTED_VALUE"""),"Accepted")</f>
        <v>Accepted</v>
      </c>
      <c r="Q69" s="838" t="str">
        <f>IFERROR(__xludf.DUMMYFUNCTION("""COMPUTED_VALUE"""),"Published")</f>
        <v>Published</v>
      </c>
      <c r="R69" s="838" t="str">
        <f>IFERROR(__xludf.DUMMYFUNCTION("""COMPUTED_VALUE"""),"Accepted")</f>
        <v>Accepted</v>
      </c>
      <c r="S69" s="798"/>
      <c r="T69" s="798"/>
      <c r="U69" s="798"/>
      <c r="V69" s="798"/>
      <c r="W69" s="798"/>
      <c r="X69" s="798"/>
      <c r="Y69" s="798"/>
      <c r="Z69" s="798"/>
      <c r="AA69" s="798"/>
      <c r="AB69" s="798"/>
      <c r="AC69" s="798"/>
      <c r="AD69" s="798"/>
    </row>
    <row r="70" ht="15.75" customHeight="1">
      <c r="A70" s="798"/>
      <c r="B70" s="823"/>
      <c r="C70" s="823"/>
      <c r="D70" s="986" t="str">
        <f>IFERROR(__xludf.DUMMYFUNCTION("""COMPUTED_VALUE"""),"Pengolahan Bahasa Alami (Natural Language Processing)")</f>
        <v>Pengolahan Bahasa Alami (Natural Language Processing)</v>
      </c>
      <c r="E70" s="400"/>
      <c r="F70" s="400"/>
      <c r="G70" s="400"/>
      <c r="H70" s="400"/>
      <c r="I70" s="400"/>
      <c r="J70" s="825"/>
      <c r="K70" s="840">
        <f>IFERROR(__xludf.DUMMYFUNCTION("""COMPUTED_VALUE"""),3.0)</f>
        <v>3</v>
      </c>
      <c r="L70" s="841">
        <f>IFERROR(__xludf.DUMMYFUNCTION("""COMPUTED_VALUE"""),0.0)</f>
        <v>0</v>
      </c>
      <c r="M70" s="840">
        <f>IFERROR(__xludf.DUMMYFUNCTION("""COMPUTED_VALUE"""),4.0)</f>
        <v>4</v>
      </c>
      <c r="N70" s="841">
        <f>IFERROR(__xludf.DUMMYFUNCTION("""COMPUTED_VALUE"""),0.0)</f>
        <v>0</v>
      </c>
      <c r="O70" s="840">
        <f>IFERROR(__xludf.DUMMYFUNCTION("""COMPUTED_VALUE"""),0.0)</f>
        <v>0</v>
      </c>
      <c r="P70" s="841">
        <f>IFERROR(__xludf.DUMMYFUNCTION("""COMPUTED_VALUE"""),0.0)</f>
        <v>0</v>
      </c>
      <c r="Q70" s="840">
        <f>IFERROR(__xludf.DUMMYFUNCTION("""COMPUTED_VALUE"""),0.0)</f>
        <v>0</v>
      </c>
      <c r="R70" s="841">
        <f>IFERROR(__xludf.DUMMYFUNCTION("""COMPUTED_VALUE"""),0.0)</f>
        <v>0</v>
      </c>
      <c r="S70" s="798"/>
      <c r="T70" s="798"/>
      <c r="U70" s="798"/>
      <c r="V70" s="798"/>
      <c r="W70" s="798"/>
      <c r="X70" s="798"/>
      <c r="Y70" s="798"/>
      <c r="Z70" s="798"/>
      <c r="AA70" s="798"/>
      <c r="AB70" s="798"/>
      <c r="AC70" s="798"/>
      <c r="AD70" s="798"/>
    </row>
    <row r="71" ht="15.75" customHeight="1">
      <c r="A71" s="798"/>
      <c r="B71" s="823"/>
      <c r="C71" s="823"/>
      <c r="D71" s="986" t="str">
        <f>IFERROR(__xludf.DUMMYFUNCTION("""COMPUTED_VALUE"""),"Pengolahan Bahasa Alami (Natural Language Processing)")</f>
        <v>Pengolahan Bahasa Alami (Natural Language Processing)</v>
      </c>
      <c r="E71" s="987"/>
      <c r="F71" s="994" t="str">
        <f>IFERROR(__xludf.DUMMYFUNCTION("""COMPUTED_VALUE"""),"Kekayaan Intelektual")</f>
        <v>Kekayaan Intelektual</v>
      </c>
      <c r="G71" s="989">
        <f>IFERROR(__xludf.DUMMYFUNCTION("""COMPUTED_VALUE"""),1.0)</f>
        <v>1</v>
      </c>
      <c r="H71" s="990" t="str">
        <f>IFERROR(__xludf.DUMMYFUNCTION("""COMPUTED_VALUE"""),"#DIV/0!")</f>
        <v>#DIV/0!</v>
      </c>
      <c r="I71" s="991" t="str">
        <f>IFERROR(__xludf.DUMMYFUNCTION("""COMPUTED_VALUE"""),"Kekayaan Intelektual")</f>
        <v>Kekayaan Intelektual</v>
      </c>
      <c r="J71" s="825"/>
      <c r="K71" s="843" t="str">
        <f>IFERROR(__xludf.DUMMYFUNCTION("""COMPUTED_VALUE"""),"PATEN")</f>
        <v>PATEN</v>
      </c>
      <c r="L71" s="829"/>
      <c r="M71" s="843" t="str">
        <f>IFERROR(__xludf.DUMMYFUNCTION("""COMPUTED_VALUE"""),"HAK CIPTA")</f>
        <v>HAK CIPTA</v>
      </c>
      <c r="N71" s="829"/>
      <c r="O71" s="843" t="str">
        <f>IFERROR(__xludf.DUMMYFUNCTION("""COMPUTED_VALUE"""),"DESAIN INDUSTRI")</f>
        <v>DESAIN INDUSTRI</v>
      </c>
      <c r="P71" s="829"/>
      <c r="Q71" s="995"/>
      <c r="S71" s="798"/>
      <c r="T71" s="798"/>
      <c r="U71" s="798"/>
      <c r="V71" s="798"/>
      <c r="W71" s="798"/>
      <c r="X71" s="798"/>
      <c r="Y71" s="798"/>
      <c r="Z71" s="798"/>
      <c r="AA71" s="798"/>
      <c r="AB71" s="798"/>
      <c r="AC71" s="798"/>
      <c r="AD71" s="798"/>
    </row>
    <row r="72" ht="15.75" customHeight="1">
      <c r="A72" s="798"/>
      <c r="B72" s="823"/>
      <c r="C72" s="823"/>
      <c r="D72" s="986" t="str">
        <f>IFERROR(__xludf.DUMMYFUNCTION("""COMPUTED_VALUE"""),"Pengolahan Bahasa Alami (Natural Language Processing)")</f>
        <v>Pengolahan Bahasa Alami (Natural Language Processing)</v>
      </c>
      <c r="E72" s="823"/>
      <c r="F72" s="823"/>
      <c r="G72" s="823"/>
      <c r="H72" s="823"/>
      <c r="I72" s="823"/>
      <c r="J72" s="825"/>
      <c r="K72" s="845" t="str">
        <f>IFERROR(__xludf.DUMMYFUNCTION("""COMPUTED_VALUE"""),"Terdaftar DJKI")</f>
        <v>Terdaftar DJKI</v>
      </c>
      <c r="L72" s="845" t="str">
        <f>IFERROR(__xludf.DUMMYFUNCTION("""COMPUTED_VALUE"""),"Tersertifikasi")</f>
        <v>Tersertifikasi</v>
      </c>
      <c r="M72" s="845" t="str">
        <f>IFERROR(__xludf.DUMMYFUNCTION("""COMPUTED_VALUE"""),"Terdaftar DJKI")</f>
        <v>Terdaftar DJKI</v>
      </c>
      <c r="N72" s="845" t="str">
        <f>IFERROR(__xludf.DUMMYFUNCTION("""COMPUTED_VALUE"""),"Tersertifikasi")</f>
        <v>Tersertifikasi</v>
      </c>
      <c r="O72" s="845" t="str">
        <f>IFERROR(__xludf.DUMMYFUNCTION("""COMPUTED_VALUE"""),"Terdaftar DJKI")</f>
        <v>Terdaftar DJKI</v>
      </c>
      <c r="P72" s="845" t="str">
        <f>IFERROR(__xludf.DUMMYFUNCTION("""COMPUTED_VALUE"""),"Tersertifikasi")</f>
        <v>Tersertifikasi</v>
      </c>
      <c r="Q72" s="842"/>
      <c r="R72" s="842"/>
      <c r="S72" s="798"/>
      <c r="T72" s="798"/>
      <c r="U72" s="798"/>
      <c r="V72" s="798"/>
      <c r="W72" s="798"/>
      <c r="X72" s="798"/>
      <c r="Y72" s="798"/>
      <c r="Z72" s="798"/>
      <c r="AA72" s="798"/>
      <c r="AB72" s="798"/>
      <c r="AC72" s="798"/>
      <c r="AD72" s="798"/>
    </row>
    <row r="73" ht="15.75" customHeight="1">
      <c r="A73" s="798"/>
      <c r="B73" s="823"/>
      <c r="C73" s="823"/>
      <c r="D73" s="986" t="str">
        <f>IFERROR(__xludf.DUMMYFUNCTION("""COMPUTED_VALUE"""),"Pengolahan Bahasa Alami (Natural Language Processing)")</f>
        <v>Pengolahan Bahasa Alami (Natural Language Processing)</v>
      </c>
      <c r="E73" s="400"/>
      <c r="F73" s="400"/>
      <c r="G73" s="400"/>
      <c r="H73" s="400"/>
      <c r="I73" s="400"/>
      <c r="J73" s="825"/>
      <c r="K73" s="830">
        <f>IFERROR(__xludf.DUMMYFUNCTION("""COMPUTED_VALUE"""),1.0)</f>
        <v>1</v>
      </c>
      <c r="L73" s="830">
        <f>IFERROR(__xludf.DUMMYFUNCTION("""COMPUTED_VALUE"""),0.0)</f>
        <v>0</v>
      </c>
      <c r="M73" s="830">
        <f>IFERROR(__xludf.DUMMYFUNCTION("""COMPUTED_VALUE"""),0.0)</f>
        <v>0</v>
      </c>
      <c r="N73" s="830">
        <f>IFERROR(__xludf.DUMMYFUNCTION("""COMPUTED_VALUE"""),0.0)</f>
        <v>0</v>
      </c>
      <c r="O73" s="830">
        <f>IFERROR(__xludf.DUMMYFUNCTION("""COMPUTED_VALUE"""),0.0)</f>
        <v>0</v>
      </c>
      <c r="P73" s="830">
        <f>IFERROR(__xludf.DUMMYFUNCTION("""COMPUTED_VALUE"""),0.0)</f>
        <v>0</v>
      </c>
      <c r="Q73" s="842"/>
      <c r="R73" s="842"/>
      <c r="S73" s="798"/>
      <c r="T73" s="798"/>
      <c r="U73" s="798"/>
      <c r="V73" s="798"/>
      <c r="W73" s="798"/>
      <c r="X73" s="798"/>
      <c r="Y73" s="798"/>
      <c r="Z73" s="798"/>
      <c r="AA73" s="798"/>
      <c r="AB73" s="798"/>
      <c r="AC73" s="798"/>
      <c r="AD73" s="798"/>
    </row>
    <row r="74" ht="15.75" customHeight="1">
      <c r="A74" s="798"/>
      <c r="B74" s="823"/>
      <c r="C74" s="823"/>
      <c r="D74" s="986" t="str">
        <f>IFERROR(__xludf.DUMMYFUNCTION("""COMPUTED_VALUE"""),"Pengolahan Bahasa Alami (Natural Language Processing)")</f>
        <v>Pengolahan Bahasa Alami (Natural Language Processing)</v>
      </c>
      <c r="E74" s="987"/>
      <c r="F74" s="994" t="str">
        <f>IFERROR(__xludf.DUMMYFUNCTION("""COMPUTED_VALUE"""),"SDM Iptek")</f>
        <v>SDM Iptek</v>
      </c>
      <c r="G74" s="989">
        <f>IFERROR(__xludf.DUMMYFUNCTION("""COMPUTED_VALUE"""),0.0)</f>
        <v>0</v>
      </c>
      <c r="H74" s="990" t="str">
        <f>IFERROR(__xludf.DUMMYFUNCTION("""COMPUTED_VALUE"""),"#DIV/0!")</f>
        <v>#DIV/0!</v>
      </c>
      <c r="I74" s="991" t="str">
        <f>IFERROR(__xludf.DUMMYFUNCTION("""COMPUTED_VALUE"""),"SDM Iptek")</f>
        <v>SDM Iptek</v>
      </c>
      <c r="J74" s="825"/>
      <c r="K74" s="849" t="str">
        <f>IFERROR(__xludf.DUMMYFUNCTION("""COMPUTED_VALUE"""),"S2")</f>
        <v>S2</v>
      </c>
      <c r="L74" s="849" t="str">
        <f>IFERROR(__xludf.DUMMYFUNCTION("""COMPUTED_VALUE"""),"S3")</f>
        <v>S3</v>
      </c>
      <c r="M74" s="857" t="str">
        <f>IFERROR(__xludf.DUMMYFUNCTION("""COMPUTED_VALUE"""),"IJIN BELAJAR")</f>
        <v>IJIN BELAJAR</v>
      </c>
      <c r="N74" s="912" t="str">
        <f>IFERROR(__xludf.DUMMYFUNCTION("""COMPUTED_VALUE"""),"TUGAS BELAJAR")</f>
        <v>TUGAS BELAJAR</v>
      </c>
      <c r="O74" s="996"/>
      <c r="P74" s="996"/>
      <c r="Q74" s="996"/>
      <c r="R74" s="996"/>
      <c r="S74" s="798"/>
      <c r="T74" s="798"/>
      <c r="U74" s="798"/>
      <c r="V74" s="798"/>
      <c r="W74" s="798"/>
      <c r="X74" s="798"/>
      <c r="Y74" s="798"/>
      <c r="Z74" s="798"/>
      <c r="AA74" s="798"/>
      <c r="AB74" s="798"/>
      <c r="AC74" s="798"/>
      <c r="AD74" s="798"/>
    </row>
    <row r="75" ht="15.75" customHeight="1">
      <c r="A75" s="798"/>
      <c r="B75" s="823"/>
      <c r="C75" s="823"/>
      <c r="D75" s="986" t="str">
        <f>IFERROR(__xludf.DUMMYFUNCTION("""COMPUTED_VALUE"""),"Pengolahan Bahasa Alami (Natural Language Processing)")</f>
        <v>Pengolahan Bahasa Alami (Natural Language Processing)</v>
      </c>
      <c r="E75" s="400"/>
      <c r="F75" s="400"/>
      <c r="G75" s="400"/>
      <c r="H75" s="400"/>
      <c r="I75" s="400"/>
      <c r="J75" s="825"/>
      <c r="K75" s="830">
        <f>IFERROR(__xludf.DUMMYFUNCTION("""COMPUTED_VALUE"""),0.0)</f>
        <v>0</v>
      </c>
      <c r="L75" s="830">
        <f>IFERROR(__xludf.DUMMYFUNCTION("""COMPUTED_VALUE"""),0.0)</f>
        <v>0</v>
      </c>
      <c r="M75" s="830">
        <f>IFERROR(__xludf.DUMMYFUNCTION("""COMPUTED_VALUE"""),0.0)</f>
        <v>0</v>
      </c>
      <c r="N75" s="830">
        <f>IFERROR(__xludf.DUMMYFUNCTION("""COMPUTED_VALUE"""),0.0)</f>
        <v>0</v>
      </c>
      <c r="O75" s="996"/>
      <c r="P75" s="996"/>
      <c r="Q75" s="996"/>
      <c r="R75" s="996"/>
      <c r="S75" s="798"/>
      <c r="T75" s="798"/>
      <c r="U75" s="798"/>
      <c r="V75" s="798"/>
      <c r="W75" s="798"/>
      <c r="X75" s="798"/>
      <c r="Y75" s="798"/>
      <c r="Z75" s="798"/>
      <c r="AA75" s="798"/>
      <c r="AB75" s="798"/>
      <c r="AC75" s="798"/>
      <c r="AD75" s="798"/>
    </row>
    <row r="76" ht="15.75" customHeight="1">
      <c r="A76" s="798"/>
      <c r="B76" s="823"/>
      <c r="C76" s="823"/>
      <c r="D76" s="986" t="str">
        <f>IFERROR(__xludf.DUMMYFUNCTION("""COMPUTED_VALUE"""),"Pengolahan Bahasa Alami (Natural Language Processing)")</f>
        <v>Pengolahan Bahasa Alami (Natural Language Processing)</v>
      </c>
      <c r="E76" s="987"/>
      <c r="F76" s="994" t="str">
        <f>IFERROR(__xludf.DUMMYFUNCTION("""COMPUTED_VALUE"""),"Peserta Postdoc/Visiting Research")</f>
        <v>Peserta Postdoc/Visiting Research</v>
      </c>
      <c r="G76" s="989">
        <f>IFERROR(__xludf.DUMMYFUNCTION("""COMPUTED_VALUE"""),0.0)</f>
        <v>0</v>
      </c>
      <c r="H76" s="990" t="str">
        <f>IFERROR(__xludf.DUMMYFUNCTION("""COMPUTED_VALUE"""),"#DIV/0!")</f>
        <v>#DIV/0!</v>
      </c>
      <c r="I76" s="991" t="str">
        <f>IFERROR(__xludf.DUMMYFUNCTION("""COMPUTED_VALUE"""),"Peserta Postdoc/Visiting Research")</f>
        <v>Peserta Postdoc/Visiting Research</v>
      </c>
      <c r="J76" s="825"/>
      <c r="K76" s="843" t="str">
        <f>IFERROR(__xludf.DUMMYFUNCTION("""COMPUTED_VALUE"""),"POSTDOCTORAL")</f>
        <v>POSTDOCTORAL</v>
      </c>
      <c r="L76" s="829"/>
      <c r="M76" s="843" t="str">
        <f>IFERROR(__xludf.DUMMYFUNCTION("""COMPUTED_VALUE"""),"VISITING RESEARCH")</f>
        <v>VISITING RESEARCH</v>
      </c>
      <c r="N76" s="829"/>
      <c r="O76" s="860" t="str">
        <f>IFERROR(__xludf.DUMMYFUNCTION("""COMPUTED_VALUE"""),"PUBLIKASI")</f>
        <v>PUBLIKASI</v>
      </c>
      <c r="P76" s="820"/>
      <c r="Q76" s="996"/>
      <c r="R76" s="996"/>
      <c r="S76" s="798"/>
      <c r="T76" s="798"/>
      <c r="U76" s="798"/>
      <c r="V76" s="798"/>
      <c r="W76" s="798"/>
      <c r="X76" s="798"/>
      <c r="Y76" s="798"/>
      <c r="Z76" s="798"/>
      <c r="AA76" s="798"/>
      <c r="AB76" s="798"/>
      <c r="AC76" s="798"/>
      <c r="AD76" s="798"/>
    </row>
    <row r="77" ht="15.75" customHeight="1">
      <c r="A77" s="798"/>
      <c r="B77" s="823"/>
      <c r="C77" s="823"/>
      <c r="D77" s="986" t="str">
        <f>IFERROR(__xludf.DUMMYFUNCTION("""COMPUTED_VALUE"""),"Pengolahan Bahasa Alami (Natural Language Processing)")</f>
        <v>Pengolahan Bahasa Alami (Natural Language Processing)</v>
      </c>
      <c r="E77" s="823"/>
      <c r="F77" s="823"/>
      <c r="G77" s="823"/>
      <c r="H77" s="823"/>
      <c r="I77" s="823"/>
      <c r="J77" s="825"/>
      <c r="K77" s="827" t="str">
        <f>IFERROR(__xludf.DUMMYFUNCTION("""COMPUTED_VALUE"""),"Dalam Negeri")</f>
        <v>Dalam Negeri</v>
      </c>
      <c r="L77" s="827" t="str">
        <f>IFERROR(__xludf.DUMMYFUNCTION("""COMPUTED_VALUE"""),"Luar Negeri")</f>
        <v>Luar Negeri</v>
      </c>
      <c r="M77" s="827" t="str">
        <f>IFERROR(__xludf.DUMMYFUNCTION("""COMPUTED_VALUE"""),"Dalam Negeri")</f>
        <v>Dalam Negeri</v>
      </c>
      <c r="N77" s="827" t="str">
        <f>IFERROR(__xludf.DUMMYFUNCTION("""COMPUTED_VALUE"""),"Luar Negeri")</f>
        <v>Luar Negeri</v>
      </c>
      <c r="O77" s="1009" t="str">
        <f>IFERROR(__xludf.DUMMYFUNCTION("""COMPUTED_VALUE"""),"Dalam Negeri")</f>
        <v>Dalam Negeri</v>
      </c>
      <c r="P77" s="1009" t="str">
        <f>IFERROR(__xludf.DUMMYFUNCTION("""COMPUTED_VALUE"""),"Luar Negeri")</f>
        <v>Luar Negeri</v>
      </c>
      <c r="Q77" s="996"/>
      <c r="R77" s="996"/>
      <c r="S77" s="798"/>
      <c r="T77" s="798"/>
      <c r="U77" s="798"/>
      <c r="V77" s="798"/>
      <c r="W77" s="798"/>
      <c r="X77" s="798"/>
      <c r="Y77" s="798"/>
      <c r="Z77" s="798"/>
      <c r="AA77" s="798"/>
      <c r="AB77" s="798"/>
      <c r="AC77" s="798"/>
      <c r="AD77" s="798"/>
    </row>
    <row r="78" ht="15.75" customHeight="1">
      <c r="A78" s="798"/>
      <c r="B78" s="823"/>
      <c r="C78" s="823"/>
      <c r="D78" s="986" t="str">
        <f>IFERROR(__xludf.DUMMYFUNCTION("""COMPUTED_VALUE"""),"Pengolahan Bahasa Alami (Natural Language Processing)")</f>
        <v>Pengolahan Bahasa Alami (Natural Language Processing)</v>
      </c>
      <c r="E78" s="400"/>
      <c r="F78" s="400"/>
      <c r="G78" s="400"/>
      <c r="H78" s="400"/>
      <c r="I78" s="400"/>
      <c r="J78" s="825"/>
      <c r="K78" s="916">
        <f>IFERROR(__xludf.DUMMYFUNCTION("""COMPUTED_VALUE"""),0.0)</f>
        <v>0</v>
      </c>
      <c r="L78" s="916">
        <f>IFERROR(__xludf.DUMMYFUNCTION("""COMPUTED_VALUE"""),0.0)</f>
        <v>0</v>
      </c>
      <c r="M78" s="916">
        <f>IFERROR(__xludf.DUMMYFUNCTION("""COMPUTED_VALUE"""),0.0)</f>
        <v>0</v>
      </c>
      <c r="N78" s="916">
        <f>IFERROR(__xludf.DUMMYFUNCTION("""COMPUTED_VALUE"""),0.0)</f>
        <v>0</v>
      </c>
      <c r="O78" s="916">
        <f>IFERROR(__xludf.DUMMYFUNCTION("""COMPUTED_VALUE"""),0.0)</f>
        <v>0</v>
      </c>
      <c r="P78" s="916">
        <f>IFERROR(__xludf.DUMMYFUNCTION("""COMPUTED_VALUE"""),0.0)</f>
        <v>0</v>
      </c>
      <c r="Q78" s="996"/>
      <c r="R78" s="996"/>
      <c r="S78" s="798"/>
      <c r="T78" s="798"/>
      <c r="U78" s="798"/>
      <c r="V78" s="798"/>
      <c r="W78" s="798"/>
      <c r="X78" s="798"/>
      <c r="Y78" s="798"/>
      <c r="Z78" s="798"/>
      <c r="AA78" s="798"/>
      <c r="AB78" s="798"/>
      <c r="AC78" s="798"/>
      <c r="AD78" s="798"/>
    </row>
    <row r="79" ht="15.75" customHeight="1">
      <c r="A79" s="798"/>
      <c r="B79" s="823"/>
      <c r="C79" s="823"/>
      <c r="D79" s="986" t="str">
        <f>IFERROR(__xludf.DUMMYFUNCTION("""COMPUTED_VALUE"""),"Pengolahan Bahasa Alami (Natural Language Processing)")</f>
        <v>Pengolahan Bahasa Alami (Natural Language Processing)</v>
      </c>
      <c r="E79" s="997"/>
      <c r="F79" s="998" t="str">
        <f>IFERROR(__xludf.DUMMYFUNCTION("""COMPUTED_VALUE"""),"Kerjasama")</f>
        <v>Kerjasama</v>
      </c>
      <c r="G79" s="989">
        <f>IFERROR(__xludf.DUMMYFUNCTION("""COMPUTED_VALUE"""),0.0)</f>
        <v>0</v>
      </c>
      <c r="H79" s="990" t="str">
        <f>IFERROR(__xludf.DUMMYFUNCTION("""COMPUTED_VALUE"""),"#DIV/0!")</f>
        <v>#DIV/0!</v>
      </c>
      <c r="I79" s="991" t="str">
        <f>IFERROR(__xludf.DUMMYFUNCTION("""COMPUTED_VALUE"""),"Kerjasama")</f>
        <v>Kerjasama</v>
      </c>
      <c r="J79" s="825"/>
      <c r="K79" s="849" t="str">
        <f>IFERROR(__xludf.DUMMYFUNCTION("""COMPUTED_VALUE"""),"PNBP")</f>
        <v>PNBP</v>
      </c>
      <c r="L79" s="849" t="str">
        <f>IFERROR(__xludf.DUMMYFUNCTION("""COMPUTED_VALUE"""),"HIBAH")</f>
        <v>HIBAH</v>
      </c>
      <c r="M79" s="849" t="str">
        <f>IFERROR(__xludf.DUMMYFUNCTION("""COMPUTED_VALUE"""),"MITRA/UNV")</f>
        <v>MITRA/UNV</v>
      </c>
      <c r="N79" s="849" t="str">
        <f>IFERROR(__xludf.DUMMYFUNCTION("""COMPUTED_VALUE"""),"POSTDOC")</f>
        <v>POSTDOC</v>
      </c>
      <c r="O79" s="849" t="str">
        <f>IFERROR(__xludf.DUMMYFUNCTION("""COMPUTED_VALUE"""),"VISITING RSRCH")</f>
        <v>VISITING RSRCH</v>
      </c>
      <c r="P79" s="850" t="str">
        <f>IFERROR(__xludf.DUMMYFUNCTION("""COMPUTED_VALUE"""),"RIMM")</f>
        <v>RIMM</v>
      </c>
      <c r="Q79" s="849" t="str">
        <f>IFERROR(__xludf.DUMMYFUNCTION("""COMPUTED_VALUE"""),"LISENSI")</f>
        <v>LISENSI</v>
      </c>
      <c r="R79" s="851" t="str">
        <f>IFERROR(__xludf.DUMMYFUNCTION("""COMPUTED_VALUE"""),"DALAM NEGERI")</f>
        <v>DALAM NEGERI</v>
      </c>
      <c r="S79" s="851" t="str">
        <f>IFERROR(__xludf.DUMMYFUNCTION("""COMPUTED_VALUE"""),"LUAR NEGERI")</f>
        <v>LUAR NEGERI</v>
      </c>
      <c r="T79" s="798"/>
      <c r="U79" s="798"/>
      <c r="V79" s="798"/>
      <c r="W79" s="798"/>
      <c r="X79" s="798"/>
      <c r="Y79" s="798"/>
      <c r="Z79" s="798"/>
      <c r="AA79" s="798"/>
      <c r="AB79" s="798"/>
      <c r="AC79" s="798"/>
      <c r="AD79" s="798"/>
    </row>
    <row r="80" ht="15.75" customHeight="1">
      <c r="A80" s="798"/>
      <c r="B80" s="823"/>
      <c r="C80" s="823"/>
      <c r="D80" s="986" t="str">
        <f>IFERROR(__xludf.DUMMYFUNCTION("""COMPUTED_VALUE"""),"Pengolahan Bahasa Alami (Natural Language Processing)")</f>
        <v>Pengolahan Bahasa Alami (Natural Language Processing)</v>
      </c>
      <c r="E80" s="400"/>
      <c r="F80" s="400"/>
      <c r="G80" s="400"/>
      <c r="H80" s="400"/>
      <c r="I80" s="400"/>
      <c r="J80" s="825"/>
      <c r="K80" s="830">
        <f>IFERROR(__xludf.DUMMYFUNCTION("""COMPUTED_VALUE"""),0.0)</f>
        <v>0</v>
      </c>
      <c r="L80" s="830">
        <f>IFERROR(__xludf.DUMMYFUNCTION("""COMPUTED_VALUE"""),0.0)</f>
        <v>0</v>
      </c>
      <c r="M80" s="830">
        <f>IFERROR(__xludf.DUMMYFUNCTION("""COMPUTED_VALUE"""),0.0)</f>
        <v>0</v>
      </c>
      <c r="N80" s="830">
        <f>IFERROR(__xludf.DUMMYFUNCTION("""COMPUTED_VALUE"""),0.0)</f>
        <v>0</v>
      </c>
      <c r="O80" s="830">
        <f>IFERROR(__xludf.DUMMYFUNCTION("""COMPUTED_VALUE"""),0.0)</f>
        <v>0</v>
      </c>
      <c r="P80" s="996">
        <f>IFERROR(__xludf.DUMMYFUNCTION("""COMPUTED_VALUE"""),0.0)</f>
        <v>0</v>
      </c>
      <c r="Q80" s="830">
        <f>IFERROR(__xludf.DUMMYFUNCTION("""COMPUTED_VALUE"""),0.0)</f>
        <v>0</v>
      </c>
      <c r="R80" s="830">
        <f>IFERROR(__xludf.DUMMYFUNCTION("""COMPUTED_VALUE"""),0.0)</f>
        <v>0</v>
      </c>
      <c r="S80" s="830">
        <f>IFERROR(__xludf.DUMMYFUNCTION("""COMPUTED_VALUE"""),0.0)</f>
        <v>0</v>
      </c>
      <c r="T80" s="798"/>
      <c r="U80" s="798"/>
      <c r="V80" s="798"/>
      <c r="W80" s="798"/>
      <c r="X80" s="798"/>
      <c r="Y80" s="798"/>
      <c r="Z80" s="798"/>
      <c r="AA80" s="798"/>
      <c r="AB80" s="798"/>
      <c r="AC80" s="798"/>
      <c r="AD80" s="798"/>
    </row>
    <row r="81" ht="15.75" customHeight="1">
      <c r="A81" s="798"/>
      <c r="B81" s="823"/>
      <c r="C81" s="823"/>
      <c r="D81" s="986" t="str">
        <f>IFERROR(__xludf.DUMMYFUNCTION("""COMPUTED_VALUE"""),"Pengolahan Bahasa Alami (Natural Language Processing)")</f>
        <v>Pengolahan Bahasa Alami (Natural Language Processing)</v>
      </c>
      <c r="E81" s="997"/>
      <c r="F81" s="998" t="str">
        <f>IFERROR(__xludf.DUMMYFUNCTION("""COMPUTED_VALUE"""),"Dana Eksternal")</f>
        <v>Dana Eksternal</v>
      </c>
      <c r="G81" s="999">
        <f>IFERROR(__xludf.DUMMYFUNCTION("""COMPUTED_VALUE"""),0.0)</f>
        <v>0</v>
      </c>
      <c r="H81" s="990" t="str">
        <f>IFERROR(__xludf.DUMMYFUNCTION("""COMPUTED_VALUE"""),"#DIV/0!")</f>
        <v>#DIV/0!</v>
      </c>
      <c r="I81" s="991" t="str">
        <f>IFERROR(__xludf.DUMMYFUNCTION("""COMPUTED_VALUE"""),"Dana Eksternal")</f>
        <v>Dana Eksternal</v>
      </c>
      <c r="J81" s="825"/>
      <c r="K81" s="849" t="str">
        <f>IFERROR(__xludf.DUMMYFUNCTION("""COMPUTED_VALUE"""),"PNBP")</f>
        <v>PNBP</v>
      </c>
      <c r="L81" s="849" t="str">
        <f>IFERROR(__xludf.DUMMYFUNCTION("""COMPUTED_VALUE"""),"HIBAH")</f>
        <v>HIBAH</v>
      </c>
      <c r="M81" s="849" t="str">
        <f>IFERROR(__xludf.DUMMYFUNCTION("""COMPUTED_VALUE"""),"MITRA/UNV")</f>
        <v>MITRA/UNV</v>
      </c>
      <c r="N81" s="849" t="str">
        <f>IFERROR(__xludf.DUMMYFUNCTION("""COMPUTED_VALUE"""),"POSTDOC")</f>
        <v>POSTDOC</v>
      </c>
      <c r="O81" s="849" t="str">
        <f>IFERROR(__xludf.DUMMYFUNCTION("""COMPUTED_VALUE"""),"VISITING RSRCH")</f>
        <v>VISITING RSRCH</v>
      </c>
      <c r="P81" s="850" t="str">
        <f>IFERROR(__xludf.DUMMYFUNCTION("""COMPUTED_VALUE"""),"RIMM")</f>
        <v>RIMM</v>
      </c>
      <c r="Q81" s="850" t="str">
        <f>IFERROR(__xludf.DUMMYFUNCTION("""COMPUTED_VALUE"""),"LISENSI")</f>
        <v>LISENSI</v>
      </c>
      <c r="R81" s="851" t="str">
        <f>IFERROR(__xludf.DUMMYFUNCTION("""COMPUTED_VALUE"""),"DALAM NEGERI")</f>
        <v>DALAM NEGERI</v>
      </c>
      <c r="S81" s="851" t="str">
        <f>IFERROR(__xludf.DUMMYFUNCTION("""COMPUTED_VALUE"""),"LUAR NEGERI")</f>
        <v>LUAR NEGERI</v>
      </c>
      <c r="T81" s="852" t="str">
        <f>IFERROR(__xludf.DUMMYFUNCTION("""COMPUTED_VALUE"""),"IN CASH")</f>
        <v>IN CASH</v>
      </c>
      <c r="U81" s="852" t="str">
        <f>IFERROR(__xludf.DUMMYFUNCTION("""COMPUTED_VALUE"""),"IN KIND")</f>
        <v>IN KIND</v>
      </c>
      <c r="V81" s="798"/>
      <c r="W81" s="798"/>
      <c r="X81" s="798"/>
      <c r="Y81" s="798"/>
      <c r="Z81" s="798"/>
      <c r="AA81" s="798"/>
      <c r="AB81" s="798"/>
      <c r="AC81" s="798"/>
      <c r="AD81" s="798"/>
    </row>
    <row r="82" ht="15.75" customHeight="1">
      <c r="A82" s="798"/>
      <c r="B82" s="400"/>
      <c r="C82" s="400"/>
      <c r="D82" s="986" t="str">
        <f>IFERROR(__xludf.DUMMYFUNCTION("""COMPUTED_VALUE"""),"Pengolahan Bahasa Alami (Natural Language Processing)")</f>
        <v>Pengolahan Bahasa Alami (Natural Language Processing)</v>
      </c>
      <c r="E82" s="400"/>
      <c r="F82" s="400"/>
      <c r="G82" s="400"/>
      <c r="H82" s="400"/>
      <c r="I82" s="400"/>
      <c r="J82" s="829"/>
      <c r="K82" s="853">
        <f>IFERROR(__xludf.DUMMYFUNCTION("""COMPUTED_VALUE"""),0.0)</f>
        <v>0</v>
      </c>
      <c r="L82" s="853">
        <f>IFERROR(__xludf.DUMMYFUNCTION("""COMPUTED_VALUE"""),0.0)</f>
        <v>0</v>
      </c>
      <c r="M82" s="853">
        <f>IFERROR(__xludf.DUMMYFUNCTION("""COMPUTED_VALUE"""),0.0)</f>
        <v>0</v>
      </c>
      <c r="N82" s="853">
        <f>IFERROR(__xludf.DUMMYFUNCTION("""COMPUTED_VALUE"""),0.0)</f>
        <v>0</v>
      </c>
      <c r="O82" s="853">
        <f>IFERROR(__xludf.DUMMYFUNCTION("""COMPUTED_VALUE"""),0.0)</f>
        <v>0</v>
      </c>
      <c r="P82" s="853">
        <f>IFERROR(__xludf.DUMMYFUNCTION("""COMPUTED_VALUE"""),0.0)</f>
        <v>0</v>
      </c>
      <c r="Q82" s="853">
        <f>IFERROR(__xludf.DUMMYFUNCTION("""COMPUTED_VALUE"""),0.0)</f>
        <v>0</v>
      </c>
      <c r="R82" s="853">
        <f>IFERROR(__xludf.DUMMYFUNCTION("""COMPUTED_VALUE"""),0.0)</f>
        <v>0</v>
      </c>
      <c r="S82" s="853">
        <f>IFERROR(__xludf.DUMMYFUNCTION("""COMPUTED_VALUE"""),0.0)</f>
        <v>0</v>
      </c>
      <c r="T82" s="853">
        <f>IFERROR(__xludf.DUMMYFUNCTION("""COMPUTED_VALUE"""),0.0)</f>
        <v>0</v>
      </c>
      <c r="U82" s="853">
        <f>IFERROR(__xludf.DUMMYFUNCTION("""COMPUTED_VALUE"""),0.0)</f>
        <v>0</v>
      </c>
      <c r="V82" s="798"/>
      <c r="W82" s="798"/>
      <c r="X82" s="798"/>
      <c r="Y82" s="798"/>
      <c r="Z82" s="798"/>
      <c r="AA82" s="798"/>
      <c r="AB82" s="798"/>
      <c r="AC82" s="798"/>
      <c r="AD82" s="798"/>
    </row>
    <row r="83" ht="15.75" customHeight="1">
      <c r="A83" s="798"/>
      <c r="B83" s="798"/>
      <c r="C83" s="798"/>
      <c r="D83" s="798"/>
      <c r="E83" s="798"/>
      <c r="F83" s="1004"/>
      <c r="G83" s="798"/>
      <c r="H83" s="798"/>
      <c r="I83" s="798"/>
      <c r="J83" s="798"/>
      <c r="K83" s="798"/>
      <c r="L83" s="798"/>
      <c r="M83" s="798"/>
      <c r="N83" s="798"/>
      <c r="O83" s="798"/>
      <c r="P83" s="798"/>
      <c r="Q83" s="798"/>
      <c r="R83" s="798"/>
      <c r="S83" s="798"/>
      <c r="T83" s="798"/>
      <c r="U83" s="798"/>
      <c r="V83" s="798"/>
      <c r="W83" s="798"/>
      <c r="X83" s="798"/>
      <c r="Y83" s="798"/>
      <c r="Z83" s="798"/>
      <c r="AA83" s="798"/>
      <c r="AB83" s="798"/>
      <c r="AC83" s="798"/>
      <c r="AD83" s="798"/>
    </row>
    <row r="84" ht="15.75" customHeight="1">
      <c r="A84" s="798"/>
      <c r="B84" s="984">
        <f>IFERROR(__xludf.DUMMYFUNCTION("""COMPUTED_VALUE"""),5.0)</f>
        <v>5</v>
      </c>
      <c r="C84" s="985" t="str">
        <f>IFERROR(__xludf.DUMMYFUNCTION("""COMPUTED_VALUE"""),"Pemerintahan Digital (Digital Government)")</f>
        <v>Pemerintahan Digital (Digital Government)</v>
      </c>
      <c r="D84" s="986" t="str">
        <f>IFERROR(__xludf.DUMMYFUNCTION("""COMPUTED_VALUE"""),"Pemerintahan Digital (Digital Government)")</f>
        <v>Pemerintahan Digital (Digital Government)</v>
      </c>
      <c r="E84" s="987"/>
      <c r="F84" s="994" t="str">
        <f>IFERROR(__xludf.DUMMYFUNCTION("""COMPUTED_VALUE"""),"Purwarupa")</f>
        <v>Purwarupa</v>
      </c>
      <c r="G84" s="989">
        <f>IFERROR(__xludf.DUMMYFUNCTION("""COMPUTED_VALUE"""),0.0)</f>
        <v>0</v>
      </c>
      <c r="H84" s="990" t="str">
        <f>IFERROR(__xludf.DUMMYFUNCTION("""COMPUTED_VALUE"""),"#DIV/0!")</f>
        <v>#DIV/0!</v>
      </c>
      <c r="I84" s="991" t="str">
        <f>IFERROR(__xludf.DUMMYFUNCTION("""COMPUTED_VALUE"""),"Purwarupa")</f>
        <v>Purwarupa</v>
      </c>
      <c r="J84" s="992" t="str">
        <f>IFERROR(__xludf.DUMMYFUNCTION("""COMPUTED_VALUE"""),"#DIV/0!")</f>
        <v>#DIV/0!</v>
      </c>
      <c r="K84" s="819" t="str">
        <f>IFERROR(__xludf.DUMMYFUNCTION("""COMPUTED_VALUE"""),"HARDWARE PROTOTYPE")</f>
        <v>HARDWARE PROTOTYPE</v>
      </c>
      <c r="L84" s="820"/>
      <c r="M84" s="819" t="str">
        <f>IFERROR(__xludf.DUMMYFUNCTION("""COMPUTED_VALUE"""),"SOFTWARE PROTOTYPE")</f>
        <v>SOFTWARE PROTOTYPE</v>
      </c>
      <c r="N84" s="820"/>
      <c r="O84" s="819" t="str">
        <f>IFERROR(__xludf.DUMMYFUNCTION("""COMPUTED_VALUE"""),"DESAIN PROTOTYPE")</f>
        <v>DESAIN PROTOTYPE</v>
      </c>
      <c r="P84" s="820"/>
      <c r="Q84" s="828"/>
      <c r="R84" s="828"/>
      <c r="S84" s="798"/>
      <c r="T84" s="798"/>
      <c r="U84" s="798"/>
      <c r="V84" s="798"/>
      <c r="W84" s="798"/>
      <c r="X84" s="798"/>
      <c r="Y84" s="798"/>
      <c r="Z84" s="798"/>
      <c r="AA84" s="798"/>
      <c r="AB84" s="798"/>
      <c r="AC84" s="798"/>
      <c r="AD84" s="798"/>
    </row>
    <row r="85" ht="15.75" customHeight="1">
      <c r="A85" s="798"/>
      <c r="B85" s="823"/>
      <c r="C85" s="823"/>
      <c r="D85" s="986" t="str">
        <f>IFERROR(__xludf.DUMMYFUNCTION("""COMPUTED_VALUE"""),"Pemerintahan Digital (Digital Government)")</f>
        <v>Pemerintahan Digital (Digital Government)</v>
      </c>
      <c r="E85" s="823"/>
      <c r="F85" s="823"/>
      <c r="G85" s="823"/>
      <c r="H85" s="823"/>
      <c r="I85" s="823"/>
      <c r="J85" s="825"/>
      <c r="K85" s="827" t="str">
        <f>IFERROR(__xludf.DUMMYFUNCTION("""COMPUTED_VALUE"""),"Selesai")</f>
        <v>Selesai</v>
      </c>
      <c r="L85" s="827" t="str">
        <f>IFERROR(__xludf.DUMMYFUNCTION("""COMPUTED_VALUE"""),"Skala Uji Lab")</f>
        <v>Skala Uji Lab</v>
      </c>
      <c r="M85" s="827" t="str">
        <f>IFERROR(__xludf.DUMMYFUNCTION("""COMPUTED_VALUE"""),"Selesai")</f>
        <v>Selesai</v>
      </c>
      <c r="N85" s="827" t="str">
        <f>IFERROR(__xludf.DUMMYFUNCTION("""COMPUTED_VALUE"""),"Skala Uji Lab")</f>
        <v>Skala Uji Lab</v>
      </c>
      <c r="O85" s="827" t="str">
        <f>IFERROR(__xludf.DUMMYFUNCTION("""COMPUTED_VALUE"""),"Selesai")</f>
        <v>Selesai</v>
      </c>
      <c r="P85" s="827" t="str">
        <f>IFERROR(__xludf.DUMMYFUNCTION("""COMPUTED_VALUE"""),"Skala Uji Lab")</f>
        <v>Skala Uji Lab</v>
      </c>
      <c r="Q85" s="828"/>
      <c r="R85" s="828"/>
      <c r="S85" s="798"/>
      <c r="T85" s="798"/>
      <c r="U85" s="798"/>
      <c r="V85" s="798"/>
      <c r="W85" s="798"/>
      <c r="X85" s="798"/>
      <c r="Y85" s="798"/>
      <c r="Z85" s="798"/>
      <c r="AA85" s="798"/>
      <c r="AB85" s="798"/>
      <c r="AC85" s="798"/>
      <c r="AD85" s="798"/>
    </row>
    <row r="86" ht="15.75" customHeight="1">
      <c r="A86" s="798"/>
      <c r="B86" s="823"/>
      <c r="C86" s="823"/>
      <c r="D86" s="986" t="str">
        <f>IFERROR(__xludf.DUMMYFUNCTION("""COMPUTED_VALUE"""),"Pemerintahan Digital (Digital Government)")</f>
        <v>Pemerintahan Digital (Digital Government)</v>
      </c>
      <c r="E86" s="400"/>
      <c r="F86" s="400"/>
      <c r="G86" s="400"/>
      <c r="H86" s="400"/>
      <c r="I86" s="400"/>
      <c r="J86" s="825"/>
      <c r="K86" s="830">
        <f>IFERROR(__xludf.DUMMYFUNCTION("""COMPUTED_VALUE"""),0.0)</f>
        <v>0</v>
      </c>
      <c r="L86" s="830">
        <f>IFERROR(__xludf.DUMMYFUNCTION("""COMPUTED_VALUE"""),0.0)</f>
        <v>0</v>
      </c>
      <c r="M86" s="830">
        <f>IFERROR(__xludf.DUMMYFUNCTION("""COMPUTED_VALUE"""),0.0)</f>
        <v>0</v>
      </c>
      <c r="N86" s="830">
        <f>IFERROR(__xludf.DUMMYFUNCTION("""COMPUTED_VALUE"""),0.0)</f>
        <v>0</v>
      </c>
      <c r="O86" s="830">
        <f>IFERROR(__xludf.DUMMYFUNCTION("""COMPUTED_VALUE"""),0.0)</f>
        <v>0</v>
      </c>
      <c r="P86" s="830">
        <f>IFERROR(__xludf.DUMMYFUNCTION("""COMPUTED_VALUE"""),0.0)</f>
        <v>0</v>
      </c>
      <c r="Q86" s="828"/>
      <c r="R86" s="828"/>
      <c r="S86" s="798"/>
      <c r="T86" s="798"/>
      <c r="U86" s="798"/>
      <c r="V86" s="798"/>
      <c r="W86" s="798"/>
      <c r="X86" s="798"/>
      <c r="Y86" s="798"/>
      <c r="Z86" s="798"/>
      <c r="AA86" s="798"/>
      <c r="AB86" s="798"/>
      <c r="AC86" s="798"/>
      <c r="AD86" s="798"/>
    </row>
    <row r="87" ht="15.75" customHeight="1">
      <c r="A87" s="798"/>
      <c r="B87" s="823"/>
      <c r="C87" s="823"/>
      <c r="D87" s="986" t="str">
        <f>IFERROR(__xludf.DUMMYFUNCTION("""COMPUTED_VALUE"""),"Pemerintahan Digital (Digital Government)")</f>
        <v>Pemerintahan Digital (Digital Government)</v>
      </c>
      <c r="E87" s="987"/>
      <c r="F87" s="994" t="str">
        <f>IFERROR(__xludf.DUMMYFUNCTION("""COMPUTED_VALUE"""),"Publikasi Internasional")</f>
        <v>Publikasi Internasional</v>
      </c>
      <c r="G87" s="989">
        <f>IFERROR(__xludf.DUMMYFUNCTION("""COMPUTED_VALUE"""),9.0)</f>
        <v>9</v>
      </c>
      <c r="H87" s="990" t="str">
        <f>IFERROR(__xludf.DUMMYFUNCTION("""COMPUTED_VALUE"""),"#DIV/0!")</f>
        <v>#DIV/0!</v>
      </c>
      <c r="I87" s="991" t="str">
        <f>IFERROR(__xludf.DUMMYFUNCTION("""COMPUTED_VALUE"""),"Publikasi Internasional")</f>
        <v>Publikasi Internasional</v>
      </c>
      <c r="J87" s="825"/>
      <c r="K87" s="819" t="str">
        <f>IFERROR(__xludf.DUMMYFUNCTION("""COMPUTED_VALUE"""),"JURNAL")</f>
        <v>JURNAL</v>
      </c>
      <c r="L87" s="820"/>
      <c r="M87" s="837" t="str">
        <f>IFERROR(__xludf.DUMMYFUNCTION("""COMPUTED_VALUE"""),"PHROSIDING")</f>
        <v>PHROSIDING</v>
      </c>
      <c r="N87" s="820"/>
      <c r="O87" s="837" t="str">
        <f>IFERROR(__xludf.DUMMYFUNCTION("""COMPUTED_VALUE"""),"BUKU")</f>
        <v>BUKU</v>
      </c>
      <c r="P87" s="820"/>
      <c r="Q87" s="837" t="str">
        <f>IFERROR(__xludf.DUMMYFUNCTION("""COMPUTED_VALUE"""),"BAGIAN BUKU")</f>
        <v>BAGIAN BUKU</v>
      </c>
      <c r="R87" s="820"/>
      <c r="S87" s="798"/>
      <c r="T87" s="798"/>
      <c r="U87" s="798"/>
      <c r="V87" s="798"/>
      <c r="W87" s="798"/>
      <c r="X87" s="798"/>
      <c r="Y87" s="798"/>
      <c r="Z87" s="798"/>
      <c r="AA87" s="798"/>
      <c r="AB87" s="798"/>
      <c r="AC87" s="798"/>
      <c r="AD87" s="798"/>
    </row>
    <row r="88" ht="15.75" customHeight="1">
      <c r="A88" s="798"/>
      <c r="B88" s="823"/>
      <c r="C88" s="823"/>
      <c r="D88" s="986" t="str">
        <f>IFERROR(__xludf.DUMMYFUNCTION("""COMPUTED_VALUE"""),"Pemerintahan Digital (Digital Government)")</f>
        <v>Pemerintahan Digital (Digital Government)</v>
      </c>
      <c r="E88" s="823"/>
      <c r="F88" s="823"/>
      <c r="G88" s="823"/>
      <c r="H88" s="823"/>
      <c r="I88" s="823"/>
      <c r="J88" s="825"/>
      <c r="K88" s="827" t="str">
        <f>IFERROR(__xludf.DUMMYFUNCTION("""COMPUTED_VALUE"""),"Published")</f>
        <v>Published</v>
      </c>
      <c r="L88" s="827" t="str">
        <f>IFERROR(__xludf.DUMMYFUNCTION("""COMPUTED_VALUE"""),"Accepted")</f>
        <v>Accepted</v>
      </c>
      <c r="M88" s="838" t="str">
        <f>IFERROR(__xludf.DUMMYFUNCTION("""COMPUTED_VALUE"""),"Published")</f>
        <v>Published</v>
      </c>
      <c r="N88" s="838" t="str">
        <f>IFERROR(__xludf.DUMMYFUNCTION("""COMPUTED_VALUE"""),"Accepted")</f>
        <v>Accepted</v>
      </c>
      <c r="O88" s="838" t="str">
        <f>IFERROR(__xludf.DUMMYFUNCTION("""COMPUTED_VALUE"""),"Published")</f>
        <v>Published</v>
      </c>
      <c r="P88" s="838" t="str">
        <f>IFERROR(__xludf.DUMMYFUNCTION("""COMPUTED_VALUE"""),"Accepted")</f>
        <v>Accepted</v>
      </c>
      <c r="Q88" s="838" t="str">
        <f>IFERROR(__xludf.DUMMYFUNCTION("""COMPUTED_VALUE"""),"Published")</f>
        <v>Published</v>
      </c>
      <c r="R88" s="838" t="str">
        <f>IFERROR(__xludf.DUMMYFUNCTION("""COMPUTED_VALUE"""),"Accepted")</f>
        <v>Accepted</v>
      </c>
      <c r="S88" s="798"/>
      <c r="T88" s="798"/>
      <c r="U88" s="798"/>
      <c r="V88" s="798"/>
      <c r="W88" s="798"/>
      <c r="X88" s="798"/>
      <c r="Y88" s="798"/>
      <c r="Z88" s="798"/>
      <c r="AA88" s="798"/>
      <c r="AB88" s="798"/>
      <c r="AC88" s="798"/>
      <c r="AD88" s="798"/>
    </row>
    <row r="89" ht="15.75" customHeight="1">
      <c r="A89" s="798"/>
      <c r="B89" s="823"/>
      <c r="C89" s="823"/>
      <c r="D89" s="986" t="str">
        <f>IFERROR(__xludf.DUMMYFUNCTION("""COMPUTED_VALUE"""),"Pemerintahan Digital (Digital Government)")</f>
        <v>Pemerintahan Digital (Digital Government)</v>
      </c>
      <c r="E89" s="400"/>
      <c r="F89" s="400"/>
      <c r="G89" s="400"/>
      <c r="H89" s="400"/>
      <c r="I89" s="400"/>
      <c r="J89" s="825"/>
      <c r="K89" s="840">
        <f>IFERROR(__xludf.DUMMYFUNCTION("""COMPUTED_VALUE"""),8.0)</f>
        <v>8</v>
      </c>
      <c r="L89" s="841">
        <f>IFERROR(__xludf.DUMMYFUNCTION("""COMPUTED_VALUE"""),0.0)</f>
        <v>0</v>
      </c>
      <c r="M89" s="840">
        <f>IFERROR(__xludf.DUMMYFUNCTION("""COMPUTED_VALUE"""),1.0)</f>
        <v>1</v>
      </c>
      <c r="N89" s="841">
        <f>IFERROR(__xludf.DUMMYFUNCTION("""COMPUTED_VALUE"""),0.0)</f>
        <v>0</v>
      </c>
      <c r="O89" s="840">
        <f>IFERROR(__xludf.DUMMYFUNCTION("""COMPUTED_VALUE"""),0.0)</f>
        <v>0</v>
      </c>
      <c r="P89" s="841">
        <f>IFERROR(__xludf.DUMMYFUNCTION("""COMPUTED_VALUE"""),0.0)</f>
        <v>0</v>
      </c>
      <c r="Q89" s="840">
        <f>IFERROR(__xludf.DUMMYFUNCTION("""COMPUTED_VALUE"""),0.0)</f>
        <v>0</v>
      </c>
      <c r="R89" s="841">
        <f>IFERROR(__xludf.DUMMYFUNCTION("""COMPUTED_VALUE"""),0.0)</f>
        <v>0</v>
      </c>
      <c r="S89" s="798"/>
      <c r="T89" s="798"/>
      <c r="U89" s="798"/>
      <c r="V89" s="798"/>
      <c r="W89" s="798"/>
      <c r="X89" s="798"/>
      <c r="Y89" s="798"/>
      <c r="Z89" s="798"/>
      <c r="AA89" s="798"/>
      <c r="AB89" s="798"/>
      <c r="AC89" s="798"/>
      <c r="AD89" s="798"/>
    </row>
    <row r="90" ht="15.75" customHeight="1">
      <c r="A90" s="798"/>
      <c r="B90" s="823"/>
      <c r="C90" s="823"/>
      <c r="D90" s="986" t="str">
        <f>IFERROR(__xludf.DUMMYFUNCTION("""COMPUTED_VALUE"""),"Pemerintahan Digital (Digital Government)")</f>
        <v>Pemerintahan Digital (Digital Government)</v>
      </c>
      <c r="E90" s="987"/>
      <c r="F90" s="994" t="str">
        <f>IFERROR(__xludf.DUMMYFUNCTION("""COMPUTED_VALUE"""),"Kekayaan Intelektual")</f>
        <v>Kekayaan Intelektual</v>
      </c>
      <c r="G90" s="989">
        <f>IFERROR(__xludf.DUMMYFUNCTION("""COMPUTED_VALUE"""),0.0)</f>
        <v>0</v>
      </c>
      <c r="H90" s="990" t="str">
        <f>IFERROR(__xludf.DUMMYFUNCTION("""COMPUTED_VALUE"""),"#DIV/0!")</f>
        <v>#DIV/0!</v>
      </c>
      <c r="I90" s="991" t="str">
        <f>IFERROR(__xludf.DUMMYFUNCTION("""COMPUTED_VALUE"""),"Kekayaan Intelektual")</f>
        <v>Kekayaan Intelektual</v>
      </c>
      <c r="J90" s="825"/>
      <c r="K90" s="843" t="str">
        <f>IFERROR(__xludf.DUMMYFUNCTION("""COMPUTED_VALUE"""),"PATEN")</f>
        <v>PATEN</v>
      </c>
      <c r="L90" s="829"/>
      <c r="M90" s="843" t="str">
        <f>IFERROR(__xludf.DUMMYFUNCTION("""COMPUTED_VALUE"""),"HAK CIPTA")</f>
        <v>HAK CIPTA</v>
      </c>
      <c r="N90" s="829"/>
      <c r="O90" s="843" t="str">
        <f>IFERROR(__xludf.DUMMYFUNCTION("""COMPUTED_VALUE"""),"DESAIN INDUSTRI")</f>
        <v>DESAIN INDUSTRI</v>
      </c>
      <c r="P90" s="829"/>
      <c r="Q90" s="995"/>
      <c r="S90" s="798"/>
      <c r="T90" s="798"/>
      <c r="U90" s="798"/>
      <c r="V90" s="798"/>
      <c r="W90" s="798"/>
      <c r="X90" s="798"/>
      <c r="Y90" s="798"/>
      <c r="Z90" s="798"/>
      <c r="AA90" s="798"/>
      <c r="AB90" s="798"/>
      <c r="AC90" s="798"/>
      <c r="AD90" s="798"/>
    </row>
    <row r="91" ht="15.75" customHeight="1">
      <c r="A91" s="798"/>
      <c r="B91" s="823"/>
      <c r="C91" s="823"/>
      <c r="D91" s="986" t="str">
        <f>IFERROR(__xludf.DUMMYFUNCTION("""COMPUTED_VALUE"""),"Pemerintahan Digital (Digital Government)")</f>
        <v>Pemerintahan Digital (Digital Government)</v>
      </c>
      <c r="E91" s="823"/>
      <c r="F91" s="823"/>
      <c r="G91" s="823"/>
      <c r="H91" s="823"/>
      <c r="I91" s="823"/>
      <c r="J91" s="825"/>
      <c r="K91" s="845" t="str">
        <f>IFERROR(__xludf.DUMMYFUNCTION("""COMPUTED_VALUE"""),"Terdaftar DJKI")</f>
        <v>Terdaftar DJKI</v>
      </c>
      <c r="L91" s="845" t="str">
        <f>IFERROR(__xludf.DUMMYFUNCTION("""COMPUTED_VALUE"""),"Tersertifikasi")</f>
        <v>Tersertifikasi</v>
      </c>
      <c r="M91" s="845" t="str">
        <f>IFERROR(__xludf.DUMMYFUNCTION("""COMPUTED_VALUE"""),"Terdaftar DJKI")</f>
        <v>Terdaftar DJKI</v>
      </c>
      <c r="N91" s="845" t="str">
        <f>IFERROR(__xludf.DUMMYFUNCTION("""COMPUTED_VALUE"""),"Tersertifikasi")</f>
        <v>Tersertifikasi</v>
      </c>
      <c r="O91" s="845" t="str">
        <f>IFERROR(__xludf.DUMMYFUNCTION("""COMPUTED_VALUE"""),"Terdaftar DJKI")</f>
        <v>Terdaftar DJKI</v>
      </c>
      <c r="P91" s="845" t="str">
        <f>IFERROR(__xludf.DUMMYFUNCTION("""COMPUTED_VALUE"""),"Tersertifikasi")</f>
        <v>Tersertifikasi</v>
      </c>
      <c r="Q91" s="842"/>
      <c r="R91" s="842"/>
      <c r="S91" s="798"/>
      <c r="T91" s="798"/>
      <c r="U91" s="798"/>
      <c r="V91" s="798"/>
      <c r="W91" s="798"/>
      <c r="X91" s="798"/>
      <c r="Y91" s="798"/>
      <c r="Z91" s="798"/>
      <c r="AA91" s="798"/>
      <c r="AB91" s="798"/>
      <c r="AC91" s="798"/>
      <c r="AD91" s="798"/>
    </row>
    <row r="92" ht="15.75" customHeight="1">
      <c r="A92" s="798"/>
      <c r="B92" s="823"/>
      <c r="C92" s="823"/>
      <c r="D92" s="986" t="str">
        <f>IFERROR(__xludf.DUMMYFUNCTION("""COMPUTED_VALUE"""),"Pemerintahan Digital (Digital Government)")</f>
        <v>Pemerintahan Digital (Digital Government)</v>
      </c>
      <c r="E92" s="400"/>
      <c r="F92" s="400"/>
      <c r="G92" s="400"/>
      <c r="H92" s="400"/>
      <c r="I92" s="400"/>
      <c r="J92" s="825"/>
      <c r="K92" s="830">
        <f>IFERROR(__xludf.DUMMYFUNCTION("""COMPUTED_VALUE"""),0.0)</f>
        <v>0</v>
      </c>
      <c r="L92" s="830">
        <f>IFERROR(__xludf.DUMMYFUNCTION("""COMPUTED_VALUE"""),0.0)</f>
        <v>0</v>
      </c>
      <c r="M92" s="830">
        <f>IFERROR(__xludf.DUMMYFUNCTION("""COMPUTED_VALUE"""),0.0)</f>
        <v>0</v>
      </c>
      <c r="N92" s="830">
        <f>IFERROR(__xludf.DUMMYFUNCTION("""COMPUTED_VALUE"""),0.0)</f>
        <v>0</v>
      </c>
      <c r="O92" s="830">
        <f>IFERROR(__xludf.DUMMYFUNCTION("""COMPUTED_VALUE"""),0.0)</f>
        <v>0</v>
      </c>
      <c r="P92" s="830">
        <f>IFERROR(__xludf.DUMMYFUNCTION("""COMPUTED_VALUE"""),0.0)</f>
        <v>0</v>
      </c>
      <c r="Q92" s="842"/>
      <c r="R92" s="842"/>
      <c r="S92" s="798"/>
      <c r="T92" s="798"/>
      <c r="U92" s="798"/>
      <c r="V92" s="798"/>
      <c r="W92" s="798"/>
      <c r="X92" s="798"/>
      <c r="Y92" s="798"/>
      <c r="Z92" s="798"/>
      <c r="AA92" s="798"/>
      <c r="AB92" s="798"/>
      <c r="AC92" s="798"/>
      <c r="AD92" s="798"/>
    </row>
    <row r="93" ht="15.75" customHeight="1">
      <c r="A93" s="798"/>
      <c r="B93" s="823"/>
      <c r="C93" s="823"/>
      <c r="D93" s="986" t="str">
        <f>IFERROR(__xludf.DUMMYFUNCTION("""COMPUTED_VALUE"""),"Pemerintahan Digital (Digital Government)")</f>
        <v>Pemerintahan Digital (Digital Government)</v>
      </c>
      <c r="E93" s="987"/>
      <c r="F93" s="994" t="str">
        <f>IFERROR(__xludf.DUMMYFUNCTION("""COMPUTED_VALUE"""),"SDM Iptek")</f>
        <v>SDM Iptek</v>
      </c>
      <c r="G93" s="989">
        <f>IFERROR(__xludf.DUMMYFUNCTION("""COMPUTED_VALUE"""),0.0)</f>
        <v>0</v>
      </c>
      <c r="H93" s="990" t="str">
        <f>IFERROR(__xludf.DUMMYFUNCTION("""COMPUTED_VALUE"""),"#DIV/0!")</f>
        <v>#DIV/0!</v>
      </c>
      <c r="I93" s="991" t="str">
        <f>IFERROR(__xludf.DUMMYFUNCTION("""COMPUTED_VALUE"""),"SDM Iptek")</f>
        <v>SDM Iptek</v>
      </c>
      <c r="J93" s="825"/>
      <c r="K93" s="849" t="str">
        <f>IFERROR(__xludf.DUMMYFUNCTION("""COMPUTED_VALUE"""),"S2")</f>
        <v>S2</v>
      </c>
      <c r="L93" s="849" t="str">
        <f>IFERROR(__xludf.DUMMYFUNCTION("""COMPUTED_VALUE"""),"S3")</f>
        <v>S3</v>
      </c>
      <c r="M93" s="857" t="str">
        <f>IFERROR(__xludf.DUMMYFUNCTION("""COMPUTED_VALUE"""),"IJIN BELAJAR")</f>
        <v>IJIN BELAJAR</v>
      </c>
      <c r="N93" s="912" t="str">
        <f>IFERROR(__xludf.DUMMYFUNCTION("""COMPUTED_VALUE"""),"TUGAS BELAJAR")</f>
        <v>TUGAS BELAJAR</v>
      </c>
      <c r="O93" s="996"/>
      <c r="P93" s="996"/>
      <c r="Q93" s="996"/>
      <c r="R93" s="996"/>
      <c r="S93" s="798"/>
      <c r="T93" s="798"/>
      <c r="U93" s="798"/>
      <c r="V93" s="798"/>
      <c r="W93" s="798"/>
      <c r="X93" s="798"/>
      <c r="Y93" s="798"/>
      <c r="Z93" s="798"/>
      <c r="AA93" s="798"/>
      <c r="AB93" s="798"/>
      <c r="AC93" s="798"/>
      <c r="AD93" s="798"/>
    </row>
    <row r="94" ht="15.75" customHeight="1">
      <c r="A94" s="798"/>
      <c r="B94" s="823"/>
      <c r="C94" s="823"/>
      <c r="D94" s="986" t="str">
        <f>IFERROR(__xludf.DUMMYFUNCTION("""COMPUTED_VALUE"""),"Pemerintahan Digital (Digital Government)")</f>
        <v>Pemerintahan Digital (Digital Government)</v>
      </c>
      <c r="E94" s="400"/>
      <c r="F94" s="400"/>
      <c r="G94" s="400"/>
      <c r="H94" s="400"/>
      <c r="I94" s="400"/>
      <c r="J94" s="825"/>
      <c r="K94" s="830">
        <f>IFERROR(__xludf.DUMMYFUNCTION("""COMPUTED_VALUE"""),0.0)</f>
        <v>0</v>
      </c>
      <c r="L94" s="830">
        <f>IFERROR(__xludf.DUMMYFUNCTION("""COMPUTED_VALUE"""),0.0)</f>
        <v>0</v>
      </c>
      <c r="M94" s="830">
        <f>IFERROR(__xludf.DUMMYFUNCTION("""COMPUTED_VALUE"""),0.0)</f>
        <v>0</v>
      </c>
      <c r="N94" s="830">
        <f>IFERROR(__xludf.DUMMYFUNCTION("""COMPUTED_VALUE"""),0.0)</f>
        <v>0</v>
      </c>
      <c r="O94" s="996"/>
      <c r="P94" s="996"/>
      <c r="Q94" s="996"/>
      <c r="R94" s="996"/>
      <c r="S94" s="798"/>
      <c r="T94" s="798"/>
      <c r="U94" s="798"/>
      <c r="V94" s="798"/>
      <c r="W94" s="798"/>
      <c r="X94" s="798"/>
      <c r="Y94" s="798"/>
      <c r="Z94" s="798"/>
      <c r="AA94" s="798"/>
      <c r="AB94" s="798"/>
      <c r="AC94" s="798"/>
      <c r="AD94" s="798"/>
    </row>
    <row r="95" ht="15.75" customHeight="1">
      <c r="A95" s="798"/>
      <c r="B95" s="823"/>
      <c r="C95" s="823"/>
      <c r="D95" s="986" t="str">
        <f>IFERROR(__xludf.DUMMYFUNCTION("""COMPUTED_VALUE"""),"Pemerintahan Digital (Digital Government)")</f>
        <v>Pemerintahan Digital (Digital Government)</v>
      </c>
      <c r="E95" s="987"/>
      <c r="F95" s="994" t="str">
        <f>IFERROR(__xludf.DUMMYFUNCTION("""COMPUTED_VALUE"""),"Peserta Postdoc/Visiting Research")</f>
        <v>Peserta Postdoc/Visiting Research</v>
      </c>
      <c r="G95" s="989">
        <f>IFERROR(__xludf.DUMMYFUNCTION("""COMPUTED_VALUE"""),0.0)</f>
        <v>0</v>
      </c>
      <c r="H95" s="990" t="str">
        <f>IFERROR(__xludf.DUMMYFUNCTION("""COMPUTED_VALUE"""),"#DIV/0!")</f>
        <v>#DIV/0!</v>
      </c>
      <c r="I95" s="991" t="str">
        <f>IFERROR(__xludf.DUMMYFUNCTION("""COMPUTED_VALUE"""),"Peserta Postdoc/Visiting Research")</f>
        <v>Peserta Postdoc/Visiting Research</v>
      </c>
      <c r="J95" s="825"/>
      <c r="K95" s="843" t="str">
        <f>IFERROR(__xludf.DUMMYFUNCTION("""COMPUTED_VALUE"""),"POSTDOCTORAL")</f>
        <v>POSTDOCTORAL</v>
      </c>
      <c r="L95" s="829"/>
      <c r="M95" s="843" t="str">
        <f>IFERROR(__xludf.DUMMYFUNCTION("""COMPUTED_VALUE"""),"VISITING RESEARCH")</f>
        <v>VISITING RESEARCH</v>
      </c>
      <c r="N95" s="829"/>
      <c r="O95" s="860" t="str">
        <f>IFERROR(__xludf.DUMMYFUNCTION("""COMPUTED_VALUE"""),"PUBLIKASI")</f>
        <v>PUBLIKASI</v>
      </c>
      <c r="P95" s="820"/>
      <c r="Q95" s="996"/>
      <c r="R95" s="996"/>
      <c r="S95" s="798"/>
      <c r="T95" s="798"/>
      <c r="U95" s="798"/>
      <c r="V95" s="798"/>
      <c r="W95" s="798"/>
      <c r="X95" s="798"/>
      <c r="Y95" s="798"/>
      <c r="Z95" s="798"/>
      <c r="AA95" s="798"/>
      <c r="AB95" s="798"/>
      <c r="AC95" s="798"/>
      <c r="AD95" s="798"/>
    </row>
    <row r="96" ht="15.75" customHeight="1">
      <c r="A96" s="798"/>
      <c r="B96" s="823"/>
      <c r="C96" s="823"/>
      <c r="D96" s="986" t="str">
        <f>IFERROR(__xludf.DUMMYFUNCTION("""COMPUTED_VALUE"""),"Pemerintahan Digital (Digital Government)")</f>
        <v>Pemerintahan Digital (Digital Government)</v>
      </c>
      <c r="E96" s="823"/>
      <c r="F96" s="823"/>
      <c r="G96" s="823"/>
      <c r="H96" s="823"/>
      <c r="I96" s="823"/>
      <c r="J96" s="825"/>
      <c r="K96" s="827" t="str">
        <f>IFERROR(__xludf.DUMMYFUNCTION("""COMPUTED_VALUE"""),"Dalam Negeri")</f>
        <v>Dalam Negeri</v>
      </c>
      <c r="L96" s="827" t="str">
        <f>IFERROR(__xludf.DUMMYFUNCTION("""COMPUTED_VALUE"""),"Luar Negeri")</f>
        <v>Luar Negeri</v>
      </c>
      <c r="M96" s="827" t="str">
        <f>IFERROR(__xludf.DUMMYFUNCTION("""COMPUTED_VALUE"""),"Dalam Negeri")</f>
        <v>Dalam Negeri</v>
      </c>
      <c r="N96" s="827" t="str">
        <f>IFERROR(__xludf.DUMMYFUNCTION("""COMPUTED_VALUE"""),"Luar Negeri")</f>
        <v>Luar Negeri</v>
      </c>
      <c r="O96" s="1009" t="str">
        <f>IFERROR(__xludf.DUMMYFUNCTION("""COMPUTED_VALUE"""),"Dalam Negeri")</f>
        <v>Dalam Negeri</v>
      </c>
      <c r="P96" s="1009" t="str">
        <f>IFERROR(__xludf.DUMMYFUNCTION("""COMPUTED_VALUE"""),"Luar Negeri")</f>
        <v>Luar Negeri</v>
      </c>
      <c r="Q96" s="996"/>
      <c r="R96" s="996"/>
      <c r="S96" s="798"/>
      <c r="T96" s="798"/>
      <c r="U96" s="798"/>
      <c r="V96" s="798"/>
      <c r="W96" s="798"/>
      <c r="X96" s="798"/>
      <c r="Y96" s="798"/>
      <c r="Z96" s="798"/>
      <c r="AA96" s="798"/>
      <c r="AB96" s="798"/>
      <c r="AC96" s="798"/>
      <c r="AD96" s="798"/>
    </row>
    <row r="97" ht="15.75" customHeight="1">
      <c r="A97" s="798"/>
      <c r="B97" s="823"/>
      <c r="C97" s="823"/>
      <c r="D97" s="986" t="str">
        <f>IFERROR(__xludf.DUMMYFUNCTION("""COMPUTED_VALUE"""),"Pemerintahan Digital (Digital Government)")</f>
        <v>Pemerintahan Digital (Digital Government)</v>
      </c>
      <c r="E97" s="400"/>
      <c r="F97" s="400"/>
      <c r="G97" s="400"/>
      <c r="H97" s="400"/>
      <c r="I97" s="400"/>
      <c r="J97" s="825"/>
      <c r="K97" s="916">
        <f>IFERROR(__xludf.DUMMYFUNCTION("""COMPUTED_VALUE"""),0.0)</f>
        <v>0</v>
      </c>
      <c r="L97" s="916">
        <f>IFERROR(__xludf.DUMMYFUNCTION("""COMPUTED_VALUE"""),0.0)</f>
        <v>0</v>
      </c>
      <c r="M97" s="916">
        <f>IFERROR(__xludf.DUMMYFUNCTION("""COMPUTED_VALUE"""),0.0)</f>
        <v>0</v>
      </c>
      <c r="N97" s="916">
        <f>IFERROR(__xludf.DUMMYFUNCTION("""COMPUTED_VALUE"""),0.0)</f>
        <v>0</v>
      </c>
      <c r="O97" s="916">
        <f>IFERROR(__xludf.DUMMYFUNCTION("""COMPUTED_VALUE"""),0.0)</f>
        <v>0</v>
      </c>
      <c r="P97" s="916">
        <f>IFERROR(__xludf.DUMMYFUNCTION("""COMPUTED_VALUE"""),0.0)</f>
        <v>0</v>
      </c>
      <c r="Q97" s="996"/>
      <c r="R97" s="996"/>
      <c r="S97" s="798"/>
      <c r="T97" s="798"/>
      <c r="U97" s="798"/>
      <c r="V97" s="798"/>
      <c r="W97" s="798"/>
      <c r="X97" s="798"/>
      <c r="Y97" s="798"/>
      <c r="Z97" s="798"/>
      <c r="AA97" s="798"/>
      <c r="AB97" s="798"/>
      <c r="AC97" s="798"/>
      <c r="AD97" s="798"/>
    </row>
    <row r="98" ht="15.75" customHeight="1">
      <c r="A98" s="798"/>
      <c r="B98" s="823"/>
      <c r="C98" s="823"/>
      <c r="D98" s="986" t="str">
        <f>IFERROR(__xludf.DUMMYFUNCTION("""COMPUTED_VALUE"""),"Pemerintahan Digital (Digital Government)")</f>
        <v>Pemerintahan Digital (Digital Government)</v>
      </c>
      <c r="E98" s="997"/>
      <c r="F98" s="998" t="str">
        <f>IFERROR(__xludf.DUMMYFUNCTION("""COMPUTED_VALUE"""),"Kerjasama")</f>
        <v>Kerjasama</v>
      </c>
      <c r="G98" s="989">
        <f>IFERROR(__xludf.DUMMYFUNCTION("""COMPUTED_VALUE"""),1.0)</f>
        <v>1</v>
      </c>
      <c r="H98" s="990" t="str">
        <f>IFERROR(__xludf.DUMMYFUNCTION("""COMPUTED_VALUE"""),"#DIV/0!")</f>
        <v>#DIV/0!</v>
      </c>
      <c r="I98" s="991" t="str">
        <f>IFERROR(__xludf.DUMMYFUNCTION("""COMPUTED_VALUE"""),"Kerjasama")</f>
        <v>Kerjasama</v>
      </c>
      <c r="J98" s="825"/>
      <c r="K98" s="849" t="str">
        <f>IFERROR(__xludf.DUMMYFUNCTION("""COMPUTED_VALUE"""),"PNBP")</f>
        <v>PNBP</v>
      </c>
      <c r="L98" s="849" t="str">
        <f>IFERROR(__xludf.DUMMYFUNCTION("""COMPUTED_VALUE"""),"HIBAH")</f>
        <v>HIBAH</v>
      </c>
      <c r="M98" s="849" t="str">
        <f>IFERROR(__xludf.DUMMYFUNCTION("""COMPUTED_VALUE"""),"MITRA/UNV")</f>
        <v>MITRA/UNV</v>
      </c>
      <c r="N98" s="849" t="str">
        <f>IFERROR(__xludf.DUMMYFUNCTION("""COMPUTED_VALUE"""),"POSTDOC")</f>
        <v>POSTDOC</v>
      </c>
      <c r="O98" s="849" t="str">
        <f>IFERROR(__xludf.DUMMYFUNCTION("""COMPUTED_VALUE"""),"VISITING RSRCH")</f>
        <v>VISITING RSRCH</v>
      </c>
      <c r="P98" s="850" t="str">
        <f>IFERROR(__xludf.DUMMYFUNCTION("""COMPUTED_VALUE"""),"RIMM")</f>
        <v>RIMM</v>
      </c>
      <c r="Q98" s="849" t="str">
        <f>IFERROR(__xludf.DUMMYFUNCTION("""COMPUTED_VALUE"""),"LISENSI")</f>
        <v>LISENSI</v>
      </c>
      <c r="R98" s="851" t="str">
        <f>IFERROR(__xludf.DUMMYFUNCTION("""COMPUTED_VALUE"""),"DALAM NEGERI")</f>
        <v>DALAM NEGERI</v>
      </c>
      <c r="S98" s="851" t="str">
        <f>IFERROR(__xludf.DUMMYFUNCTION("""COMPUTED_VALUE"""),"LUAR NEGERI")</f>
        <v>LUAR NEGERI</v>
      </c>
      <c r="T98" s="798"/>
      <c r="U98" s="798"/>
      <c r="V98" s="798"/>
      <c r="W98" s="798"/>
      <c r="X98" s="798"/>
      <c r="Y98" s="798"/>
      <c r="Z98" s="798"/>
      <c r="AA98" s="798"/>
      <c r="AB98" s="798"/>
      <c r="AC98" s="798"/>
      <c r="AD98" s="798"/>
    </row>
    <row r="99" ht="15.75" customHeight="1">
      <c r="A99" s="798"/>
      <c r="B99" s="823"/>
      <c r="C99" s="823"/>
      <c r="D99" s="986" t="str">
        <f>IFERROR(__xludf.DUMMYFUNCTION("""COMPUTED_VALUE"""),"Pemerintahan Digital (Digital Government)")</f>
        <v>Pemerintahan Digital (Digital Government)</v>
      </c>
      <c r="E99" s="400"/>
      <c r="F99" s="400"/>
      <c r="G99" s="400"/>
      <c r="H99" s="400"/>
      <c r="I99" s="400"/>
      <c r="J99" s="825"/>
      <c r="K99" s="830">
        <f>IFERROR(__xludf.DUMMYFUNCTION("""COMPUTED_VALUE"""),0.0)</f>
        <v>0</v>
      </c>
      <c r="L99" s="830">
        <f>IFERROR(__xludf.DUMMYFUNCTION("""COMPUTED_VALUE"""),0.0)</f>
        <v>0</v>
      </c>
      <c r="M99" s="830">
        <f>IFERROR(__xludf.DUMMYFUNCTION("""COMPUTED_VALUE"""),0.0)</f>
        <v>0</v>
      </c>
      <c r="N99" s="830">
        <f>IFERROR(__xludf.DUMMYFUNCTION("""COMPUTED_VALUE"""),0.0)</f>
        <v>0</v>
      </c>
      <c r="O99" s="830">
        <f>IFERROR(__xludf.DUMMYFUNCTION("""COMPUTED_VALUE"""),0.0)</f>
        <v>0</v>
      </c>
      <c r="P99" s="996">
        <f>IFERROR(__xludf.DUMMYFUNCTION("""COMPUTED_VALUE"""),0.0)</f>
        <v>0</v>
      </c>
      <c r="Q99" s="830">
        <f>IFERROR(__xludf.DUMMYFUNCTION("""COMPUTED_VALUE"""),1.0)</f>
        <v>1</v>
      </c>
      <c r="R99" s="830">
        <f>IFERROR(__xludf.DUMMYFUNCTION("""COMPUTED_VALUE"""),1.0)</f>
        <v>1</v>
      </c>
      <c r="S99" s="830">
        <f>IFERROR(__xludf.DUMMYFUNCTION("""COMPUTED_VALUE"""),0.0)</f>
        <v>0</v>
      </c>
      <c r="T99" s="798"/>
      <c r="U99" s="798"/>
      <c r="V99" s="798"/>
      <c r="W99" s="798"/>
      <c r="X99" s="798"/>
      <c r="Y99" s="798"/>
      <c r="Z99" s="798"/>
      <c r="AA99" s="798"/>
      <c r="AB99" s="798"/>
      <c r="AC99" s="798"/>
      <c r="AD99" s="798"/>
    </row>
    <row r="100" ht="15.75" customHeight="1">
      <c r="A100" s="798"/>
      <c r="B100" s="823"/>
      <c r="C100" s="823"/>
      <c r="D100" s="986" t="str">
        <f>IFERROR(__xludf.DUMMYFUNCTION("""COMPUTED_VALUE"""),"Pemerintahan Digital (Digital Government)")</f>
        <v>Pemerintahan Digital (Digital Government)</v>
      </c>
      <c r="E100" s="997"/>
      <c r="F100" s="998" t="str">
        <f>IFERROR(__xludf.DUMMYFUNCTION("""COMPUTED_VALUE"""),"Dana Eksternal")</f>
        <v>Dana Eksternal</v>
      </c>
      <c r="G100" s="999">
        <f>IFERROR(__xludf.DUMMYFUNCTION("""COMPUTED_VALUE"""),0.0)</f>
        <v>0</v>
      </c>
      <c r="H100" s="990" t="str">
        <f>IFERROR(__xludf.DUMMYFUNCTION("""COMPUTED_VALUE"""),"#DIV/0!")</f>
        <v>#DIV/0!</v>
      </c>
      <c r="I100" s="991" t="str">
        <f>IFERROR(__xludf.DUMMYFUNCTION("""COMPUTED_VALUE"""),"Dana Eksternal")</f>
        <v>Dana Eksternal</v>
      </c>
      <c r="J100" s="825"/>
      <c r="K100" s="849" t="str">
        <f>IFERROR(__xludf.DUMMYFUNCTION("""COMPUTED_VALUE"""),"PNBP")</f>
        <v>PNBP</v>
      </c>
      <c r="L100" s="849" t="str">
        <f>IFERROR(__xludf.DUMMYFUNCTION("""COMPUTED_VALUE"""),"HIBAH")</f>
        <v>HIBAH</v>
      </c>
      <c r="M100" s="849" t="str">
        <f>IFERROR(__xludf.DUMMYFUNCTION("""COMPUTED_VALUE"""),"MITRA/UNV")</f>
        <v>MITRA/UNV</v>
      </c>
      <c r="N100" s="849" t="str">
        <f>IFERROR(__xludf.DUMMYFUNCTION("""COMPUTED_VALUE"""),"POSTDOC")</f>
        <v>POSTDOC</v>
      </c>
      <c r="O100" s="849" t="str">
        <f>IFERROR(__xludf.DUMMYFUNCTION("""COMPUTED_VALUE"""),"VISITING RSRCH")</f>
        <v>VISITING RSRCH</v>
      </c>
      <c r="P100" s="850" t="str">
        <f>IFERROR(__xludf.DUMMYFUNCTION("""COMPUTED_VALUE"""),"RIMM")</f>
        <v>RIMM</v>
      </c>
      <c r="Q100" s="850" t="str">
        <f>IFERROR(__xludf.DUMMYFUNCTION("""COMPUTED_VALUE"""),"LISENSI")</f>
        <v>LISENSI</v>
      </c>
      <c r="R100" s="851" t="str">
        <f>IFERROR(__xludf.DUMMYFUNCTION("""COMPUTED_VALUE"""),"DALAM NEGERI")</f>
        <v>DALAM NEGERI</v>
      </c>
      <c r="S100" s="851" t="str">
        <f>IFERROR(__xludf.DUMMYFUNCTION("""COMPUTED_VALUE"""),"LUAR NEGERI")</f>
        <v>LUAR NEGERI</v>
      </c>
      <c r="T100" s="852" t="str">
        <f>IFERROR(__xludf.DUMMYFUNCTION("""COMPUTED_VALUE"""),"IN CASH")</f>
        <v>IN CASH</v>
      </c>
      <c r="U100" s="852" t="str">
        <f>IFERROR(__xludf.DUMMYFUNCTION("""COMPUTED_VALUE"""),"IN KIND")</f>
        <v>IN KIND</v>
      </c>
      <c r="V100" s="798"/>
      <c r="W100" s="798"/>
      <c r="X100" s="798"/>
      <c r="Y100" s="798"/>
      <c r="Z100" s="798"/>
      <c r="AA100" s="798"/>
      <c r="AB100" s="798"/>
      <c r="AC100" s="798"/>
      <c r="AD100" s="798"/>
    </row>
    <row r="101" ht="15.75" customHeight="1">
      <c r="A101" s="798"/>
      <c r="B101" s="400"/>
      <c r="C101" s="400"/>
      <c r="D101" s="986" t="str">
        <f>IFERROR(__xludf.DUMMYFUNCTION("""COMPUTED_VALUE"""),"Pemerintahan Digital (Digital Government)")</f>
        <v>Pemerintahan Digital (Digital Government)</v>
      </c>
      <c r="E101" s="400"/>
      <c r="F101" s="400"/>
      <c r="G101" s="400"/>
      <c r="H101" s="400"/>
      <c r="I101" s="400"/>
      <c r="J101" s="829"/>
      <c r="K101" s="853">
        <f>IFERROR(__xludf.DUMMYFUNCTION("""COMPUTED_VALUE"""),0.0)</f>
        <v>0</v>
      </c>
      <c r="L101" s="853">
        <f>IFERROR(__xludf.DUMMYFUNCTION("""COMPUTED_VALUE"""),0.0)</f>
        <v>0</v>
      </c>
      <c r="M101" s="853">
        <f>IFERROR(__xludf.DUMMYFUNCTION("""COMPUTED_VALUE"""),0.0)</f>
        <v>0</v>
      </c>
      <c r="N101" s="853">
        <f>IFERROR(__xludf.DUMMYFUNCTION("""COMPUTED_VALUE"""),0.0)</f>
        <v>0</v>
      </c>
      <c r="O101" s="853">
        <f>IFERROR(__xludf.DUMMYFUNCTION("""COMPUTED_VALUE"""),0.0)</f>
        <v>0</v>
      </c>
      <c r="P101" s="853">
        <f>IFERROR(__xludf.DUMMYFUNCTION("""COMPUTED_VALUE"""),0.0)</f>
        <v>0</v>
      </c>
      <c r="Q101" s="853">
        <f>IFERROR(__xludf.DUMMYFUNCTION("""COMPUTED_VALUE"""),0.0)</f>
        <v>0</v>
      </c>
      <c r="R101" s="853">
        <f>IFERROR(__xludf.DUMMYFUNCTION("""COMPUTED_VALUE"""),0.0)</f>
        <v>0</v>
      </c>
      <c r="S101" s="853">
        <f>IFERROR(__xludf.DUMMYFUNCTION("""COMPUTED_VALUE"""),0.0)</f>
        <v>0</v>
      </c>
      <c r="T101" s="853">
        <f>IFERROR(__xludf.DUMMYFUNCTION("""COMPUTED_VALUE"""),0.0)</f>
        <v>0</v>
      </c>
      <c r="U101" s="853">
        <f>IFERROR(__xludf.DUMMYFUNCTION("""COMPUTED_VALUE"""),0.0)</f>
        <v>0</v>
      </c>
      <c r="V101" s="798"/>
      <c r="W101" s="798"/>
      <c r="X101" s="798"/>
      <c r="Y101" s="798"/>
      <c r="Z101" s="798"/>
      <c r="AA101" s="798"/>
      <c r="AB101" s="798"/>
      <c r="AC101" s="798"/>
      <c r="AD101" s="798"/>
    </row>
    <row r="102" ht="15.75" hidden="1" customHeight="1">
      <c r="A102" s="798"/>
      <c r="B102" s="798"/>
      <c r="C102" s="798"/>
      <c r="D102" s="798"/>
      <c r="E102" s="798"/>
      <c r="F102" s="798"/>
      <c r="G102" s="798"/>
      <c r="H102" s="798"/>
      <c r="I102" s="798"/>
      <c r="J102" s="798"/>
      <c r="K102" s="798"/>
      <c r="L102" s="798"/>
      <c r="M102" s="798"/>
      <c r="N102" s="798"/>
      <c r="O102" s="798"/>
      <c r="P102" s="798"/>
      <c r="Q102" s="798"/>
      <c r="R102" s="798"/>
      <c r="S102" s="798"/>
      <c r="T102" s="798"/>
      <c r="U102" s="798"/>
      <c r="V102" s="798"/>
      <c r="W102" s="798"/>
      <c r="X102" s="798"/>
      <c r="Y102" s="798"/>
      <c r="Z102" s="798"/>
      <c r="AA102" s="798"/>
      <c r="AB102" s="798"/>
      <c r="AC102" s="798"/>
      <c r="AD102" s="798"/>
    </row>
    <row r="103" ht="15.75" hidden="1" customHeight="1">
      <c r="A103" s="798"/>
      <c r="B103" s="984">
        <f>IFERROR(__xludf.DUMMYFUNCTION("""COMPUTED_VALUE"""),6.0)</f>
        <v>6</v>
      </c>
      <c r="C103" s="985"/>
      <c r="D103" s="986" t="str">
        <f>IFERROR(__xludf.DUMMYFUNCTION("""COMPUTED_VALUE"""),"Pemerintahan Digital (Digital Government)")</f>
        <v>Pemerintahan Digital (Digital Government)</v>
      </c>
      <c r="E103" s="987"/>
      <c r="F103" s="988" t="str">
        <f>IFERROR(__xludf.DUMMYFUNCTION("""COMPUTED_VALUE"""),"Purwarupa")</f>
        <v>Purwarupa</v>
      </c>
      <c r="G103" s="989">
        <f>IFERROR(__xludf.DUMMYFUNCTION("""COMPUTED_VALUE"""),0.0)</f>
        <v>0</v>
      </c>
      <c r="H103" s="990" t="str">
        <f>IFERROR(__xludf.DUMMYFUNCTION("""COMPUTED_VALUE"""),"#DIV/0!")</f>
        <v>#DIV/0!</v>
      </c>
      <c r="I103" s="991" t="str">
        <f>IFERROR(__xludf.DUMMYFUNCTION("""COMPUTED_VALUE"""),"Purwarupa")</f>
        <v>Purwarupa</v>
      </c>
      <c r="J103" s="992" t="str">
        <f>IFERROR(__xludf.DUMMYFUNCTION("""COMPUTED_VALUE"""),"#DIV/0!")</f>
        <v>#DIV/0!</v>
      </c>
      <c r="K103" s="819" t="str">
        <f>IFERROR(__xludf.DUMMYFUNCTION("""COMPUTED_VALUE"""),"HARDWARE PROTOTYPE")</f>
        <v>HARDWARE PROTOTYPE</v>
      </c>
      <c r="L103" s="820"/>
      <c r="M103" s="819" t="str">
        <f>IFERROR(__xludf.DUMMYFUNCTION("""COMPUTED_VALUE"""),"SOFTWARE PROTOTYPE")</f>
        <v>SOFTWARE PROTOTYPE</v>
      </c>
      <c r="N103" s="820"/>
      <c r="O103" s="819" t="str">
        <f>IFERROR(__xludf.DUMMYFUNCTION("""COMPUTED_VALUE"""),"DESAIN PROTOTYPE")</f>
        <v>DESAIN PROTOTYPE</v>
      </c>
      <c r="P103" s="820"/>
      <c r="Q103" s="828"/>
      <c r="R103" s="828"/>
      <c r="S103" s="798"/>
      <c r="T103" s="798"/>
      <c r="U103" s="798"/>
      <c r="V103" s="798"/>
      <c r="W103" s="798"/>
      <c r="X103" s="798"/>
      <c r="Y103" s="798"/>
      <c r="Z103" s="798"/>
      <c r="AA103" s="798"/>
      <c r="AB103" s="798"/>
      <c r="AC103" s="798"/>
      <c r="AD103" s="798"/>
    </row>
    <row r="104" ht="15.75" hidden="1" customHeight="1">
      <c r="A104" s="798"/>
      <c r="B104" s="823"/>
      <c r="C104" s="823"/>
      <c r="D104" s="986" t="str">
        <f>IFERROR(__xludf.DUMMYFUNCTION("""COMPUTED_VALUE"""),"Pemerintahan Digital (Digital Government)")</f>
        <v>Pemerintahan Digital (Digital Government)</v>
      </c>
      <c r="E104" s="823"/>
      <c r="F104" s="823"/>
      <c r="G104" s="823"/>
      <c r="H104" s="823"/>
      <c r="I104" s="823"/>
      <c r="J104" s="825"/>
      <c r="K104" s="827" t="str">
        <f>IFERROR(__xludf.DUMMYFUNCTION("""COMPUTED_VALUE"""),"Selesai")</f>
        <v>Selesai</v>
      </c>
      <c r="L104" s="827" t="str">
        <f>IFERROR(__xludf.DUMMYFUNCTION("""COMPUTED_VALUE"""),"Skala Uji Lab")</f>
        <v>Skala Uji Lab</v>
      </c>
      <c r="M104" s="827" t="str">
        <f>IFERROR(__xludf.DUMMYFUNCTION("""COMPUTED_VALUE"""),"Selesai")</f>
        <v>Selesai</v>
      </c>
      <c r="N104" s="827" t="str">
        <f>IFERROR(__xludf.DUMMYFUNCTION("""COMPUTED_VALUE"""),"Skala Uji Lab")</f>
        <v>Skala Uji Lab</v>
      </c>
      <c r="O104" s="827" t="str">
        <f>IFERROR(__xludf.DUMMYFUNCTION("""COMPUTED_VALUE"""),"Selesai")</f>
        <v>Selesai</v>
      </c>
      <c r="P104" s="827" t="str">
        <f>IFERROR(__xludf.DUMMYFUNCTION("""COMPUTED_VALUE"""),"Skala Uji Lab")</f>
        <v>Skala Uji Lab</v>
      </c>
      <c r="Q104" s="828"/>
      <c r="R104" s="828"/>
      <c r="S104" s="798"/>
      <c r="T104" s="798"/>
      <c r="U104" s="798"/>
      <c r="V104" s="798"/>
      <c r="W104" s="798"/>
      <c r="X104" s="798"/>
      <c r="Y104" s="798"/>
      <c r="Z104" s="798"/>
      <c r="AA104" s="798"/>
      <c r="AB104" s="798"/>
      <c r="AC104" s="798"/>
      <c r="AD104" s="798"/>
    </row>
    <row r="105" ht="15.75" hidden="1" customHeight="1">
      <c r="A105" s="798"/>
      <c r="B105" s="823"/>
      <c r="C105" s="823"/>
      <c r="D105" s="986" t="str">
        <f>IFERROR(__xludf.DUMMYFUNCTION("""COMPUTED_VALUE"""),"Pemerintahan Digital (Digital Government)")</f>
        <v>Pemerintahan Digital (Digital Government)</v>
      </c>
      <c r="E105" s="400"/>
      <c r="F105" s="400"/>
      <c r="G105" s="400"/>
      <c r="H105" s="400"/>
      <c r="I105" s="400"/>
      <c r="J105" s="825"/>
      <c r="K105" s="830">
        <f>IFERROR(__xludf.DUMMYFUNCTION("""COMPUTED_VALUE"""),0.0)</f>
        <v>0</v>
      </c>
      <c r="L105" s="830">
        <f>IFERROR(__xludf.DUMMYFUNCTION("""COMPUTED_VALUE"""),0.0)</f>
        <v>0</v>
      </c>
      <c r="M105" s="830">
        <f>IFERROR(__xludf.DUMMYFUNCTION("""COMPUTED_VALUE"""),0.0)</f>
        <v>0</v>
      </c>
      <c r="N105" s="830">
        <f>IFERROR(__xludf.DUMMYFUNCTION("""COMPUTED_VALUE"""),0.0)</f>
        <v>0</v>
      </c>
      <c r="O105" s="830">
        <f>IFERROR(__xludf.DUMMYFUNCTION("""COMPUTED_VALUE"""),0.0)</f>
        <v>0</v>
      </c>
      <c r="P105" s="830">
        <f>IFERROR(__xludf.DUMMYFUNCTION("""COMPUTED_VALUE"""),0.0)</f>
        <v>0</v>
      </c>
      <c r="Q105" s="828"/>
      <c r="R105" s="828"/>
      <c r="S105" s="798"/>
      <c r="T105" s="798"/>
      <c r="U105" s="798"/>
      <c r="V105" s="798"/>
      <c r="W105" s="798"/>
      <c r="X105" s="798"/>
      <c r="Y105" s="798"/>
      <c r="Z105" s="798"/>
      <c r="AA105" s="798"/>
      <c r="AB105" s="798"/>
      <c r="AC105" s="798"/>
      <c r="AD105" s="798"/>
    </row>
    <row r="106" ht="15.75" hidden="1" customHeight="1">
      <c r="A106" s="798"/>
      <c r="B106" s="823"/>
      <c r="C106" s="823"/>
      <c r="D106" s="986" t="str">
        <f>IFERROR(__xludf.DUMMYFUNCTION("""COMPUTED_VALUE"""),"Pemerintahan Digital (Digital Government)")</f>
        <v>Pemerintahan Digital (Digital Government)</v>
      </c>
      <c r="E106" s="987"/>
      <c r="F106" s="988" t="str">
        <f>IFERROR(__xludf.DUMMYFUNCTION("""COMPUTED_VALUE"""),"Publikasi Internasional")</f>
        <v>Publikasi Internasional</v>
      </c>
      <c r="G106" s="989">
        <f>IFERROR(__xludf.DUMMYFUNCTION("""COMPUTED_VALUE"""),7.0)</f>
        <v>7</v>
      </c>
      <c r="H106" s="990" t="str">
        <f>IFERROR(__xludf.DUMMYFUNCTION("""COMPUTED_VALUE"""),"#DIV/0!")</f>
        <v>#DIV/0!</v>
      </c>
      <c r="I106" s="991" t="str">
        <f>IFERROR(__xludf.DUMMYFUNCTION("""COMPUTED_VALUE"""),"Publikasi Internasional")</f>
        <v>Publikasi Internasional</v>
      </c>
      <c r="J106" s="825"/>
      <c r="K106" s="819" t="str">
        <f>IFERROR(__xludf.DUMMYFUNCTION("""COMPUTED_VALUE"""),"JURNAL")</f>
        <v>JURNAL</v>
      </c>
      <c r="L106" s="820"/>
      <c r="M106" s="837" t="str">
        <f>IFERROR(__xludf.DUMMYFUNCTION("""COMPUTED_VALUE"""),"PHROSIDING")</f>
        <v>PHROSIDING</v>
      </c>
      <c r="N106" s="820"/>
      <c r="O106" s="837" t="str">
        <f>IFERROR(__xludf.DUMMYFUNCTION("""COMPUTED_VALUE"""),"BUKU")</f>
        <v>BUKU</v>
      </c>
      <c r="P106" s="820"/>
      <c r="Q106" s="837" t="str">
        <f>IFERROR(__xludf.DUMMYFUNCTION("""COMPUTED_VALUE"""),"BAGIAN BUKU")</f>
        <v>BAGIAN BUKU</v>
      </c>
      <c r="R106" s="820"/>
      <c r="S106" s="798"/>
      <c r="T106" s="798"/>
      <c r="U106" s="798"/>
      <c r="V106" s="798"/>
      <c r="W106" s="798"/>
      <c r="X106" s="798"/>
      <c r="Y106" s="798"/>
      <c r="Z106" s="798"/>
      <c r="AA106" s="798"/>
      <c r="AB106" s="798"/>
      <c r="AC106" s="798"/>
      <c r="AD106" s="798"/>
    </row>
    <row r="107" ht="15.75" hidden="1" customHeight="1">
      <c r="A107" s="798"/>
      <c r="B107" s="823"/>
      <c r="C107" s="823"/>
      <c r="D107" s="986" t="str">
        <f>IFERROR(__xludf.DUMMYFUNCTION("""COMPUTED_VALUE"""),"Pemerintahan Digital (Digital Government)")</f>
        <v>Pemerintahan Digital (Digital Government)</v>
      </c>
      <c r="E107" s="823"/>
      <c r="F107" s="823"/>
      <c r="G107" s="823"/>
      <c r="H107" s="823"/>
      <c r="I107" s="823"/>
      <c r="J107" s="825"/>
      <c r="K107" s="827" t="str">
        <f>IFERROR(__xludf.DUMMYFUNCTION("""COMPUTED_VALUE"""),"Published")</f>
        <v>Published</v>
      </c>
      <c r="L107" s="827" t="str">
        <f>IFERROR(__xludf.DUMMYFUNCTION("""COMPUTED_VALUE"""),"Accepted")</f>
        <v>Accepted</v>
      </c>
      <c r="M107" s="838" t="str">
        <f>IFERROR(__xludf.DUMMYFUNCTION("""COMPUTED_VALUE"""),"Published")</f>
        <v>Published</v>
      </c>
      <c r="N107" s="838" t="str">
        <f>IFERROR(__xludf.DUMMYFUNCTION("""COMPUTED_VALUE"""),"Accepted")</f>
        <v>Accepted</v>
      </c>
      <c r="O107" s="838" t="str">
        <f>IFERROR(__xludf.DUMMYFUNCTION("""COMPUTED_VALUE"""),"Published")</f>
        <v>Published</v>
      </c>
      <c r="P107" s="838" t="str">
        <f>IFERROR(__xludf.DUMMYFUNCTION("""COMPUTED_VALUE"""),"Accepted")</f>
        <v>Accepted</v>
      </c>
      <c r="Q107" s="838" t="str">
        <f>IFERROR(__xludf.DUMMYFUNCTION("""COMPUTED_VALUE"""),"Published")</f>
        <v>Published</v>
      </c>
      <c r="R107" s="838" t="str">
        <f>IFERROR(__xludf.DUMMYFUNCTION("""COMPUTED_VALUE"""),"Accepted")</f>
        <v>Accepted</v>
      </c>
      <c r="S107" s="798"/>
      <c r="T107" s="798"/>
      <c r="U107" s="798"/>
      <c r="V107" s="798"/>
      <c r="W107" s="798"/>
      <c r="X107" s="798"/>
      <c r="Y107" s="798"/>
      <c r="Z107" s="798"/>
      <c r="AA107" s="798"/>
      <c r="AB107" s="798"/>
      <c r="AC107" s="798"/>
      <c r="AD107" s="798"/>
    </row>
    <row r="108" ht="15.75" hidden="1" customHeight="1">
      <c r="A108" s="798"/>
      <c r="B108" s="823"/>
      <c r="C108" s="823"/>
      <c r="D108" s="986" t="str">
        <f>IFERROR(__xludf.DUMMYFUNCTION("""COMPUTED_VALUE"""),"Pemerintahan Digital (Digital Government)")</f>
        <v>Pemerintahan Digital (Digital Government)</v>
      </c>
      <c r="E108" s="400"/>
      <c r="F108" s="400"/>
      <c r="G108" s="400"/>
      <c r="H108" s="400"/>
      <c r="I108" s="400"/>
      <c r="J108" s="825"/>
      <c r="K108" s="840">
        <f>IFERROR(__xludf.DUMMYFUNCTION("""COMPUTED_VALUE"""),0.0)</f>
        <v>0</v>
      </c>
      <c r="L108" s="841">
        <f>IFERROR(__xludf.DUMMYFUNCTION("""COMPUTED_VALUE"""),0.0)</f>
        <v>0</v>
      </c>
      <c r="M108" s="840">
        <f>IFERROR(__xludf.DUMMYFUNCTION("""COMPUTED_VALUE"""),0.0)</f>
        <v>0</v>
      </c>
      <c r="N108" s="841">
        <f>IFERROR(__xludf.DUMMYFUNCTION("""COMPUTED_VALUE"""),0.0)</f>
        <v>0</v>
      </c>
      <c r="O108" s="840">
        <f>IFERROR(__xludf.DUMMYFUNCTION("""COMPUTED_VALUE"""),0.0)</f>
        <v>0</v>
      </c>
      <c r="P108" s="841">
        <f>IFERROR(__xludf.DUMMYFUNCTION("""COMPUTED_VALUE"""),0.0)</f>
        <v>0</v>
      </c>
      <c r="Q108" s="840">
        <f>IFERROR(__xludf.DUMMYFUNCTION("""COMPUTED_VALUE"""),0.0)</f>
        <v>0</v>
      </c>
      <c r="R108" s="841">
        <f>IFERROR(__xludf.DUMMYFUNCTION("""COMPUTED_VALUE"""),0.0)</f>
        <v>0</v>
      </c>
      <c r="S108" s="798"/>
      <c r="T108" s="798"/>
      <c r="U108" s="798"/>
      <c r="V108" s="798"/>
      <c r="W108" s="798"/>
      <c r="X108" s="798"/>
      <c r="Y108" s="798"/>
      <c r="Z108" s="798"/>
      <c r="AA108" s="798"/>
      <c r="AB108" s="798"/>
      <c r="AC108" s="798"/>
      <c r="AD108" s="798"/>
    </row>
    <row r="109" ht="15.75" hidden="1" customHeight="1">
      <c r="A109" s="798"/>
      <c r="B109" s="823"/>
      <c r="C109" s="823"/>
      <c r="D109" s="986" t="str">
        <f>IFERROR(__xludf.DUMMYFUNCTION("""COMPUTED_VALUE"""),"Pemerintahan Digital (Digital Government)")</f>
        <v>Pemerintahan Digital (Digital Government)</v>
      </c>
      <c r="E109" s="987"/>
      <c r="F109" s="988" t="str">
        <f>IFERROR(__xludf.DUMMYFUNCTION("""COMPUTED_VALUE"""),"Kekayaan Intelektual")</f>
        <v>Kekayaan Intelektual</v>
      </c>
      <c r="G109" s="989">
        <f>IFERROR(__xludf.DUMMYFUNCTION("""COMPUTED_VALUE"""),1.0)</f>
        <v>1</v>
      </c>
      <c r="H109" s="990" t="str">
        <f>IFERROR(__xludf.DUMMYFUNCTION("""COMPUTED_VALUE"""),"#DIV/0!")</f>
        <v>#DIV/0!</v>
      </c>
      <c r="I109" s="991" t="str">
        <f>IFERROR(__xludf.DUMMYFUNCTION("""COMPUTED_VALUE"""),"Kekayaan Intelektual")</f>
        <v>Kekayaan Intelektual</v>
      </c>
      <c r="J109" s="825"/>
      <c r="K109" s="843" t="str">
        <f>IFERROR(__xludf.DUMMYFUNCTION("""COMPUTED_VALUE"""),"PATEN")</f>
        <v>PATEN</v>
      </c>
      <c r="L109" s="829"/>
      <c r="M109" s="843" t="str">
        <f>IFERROR(__xludf.DUMMYFUNCTION("""COMPUTED_VALUE"""),"HAK CIPTA")</f>
        <v>HAK CIPTA</v>
      </c>
      <c r="N109" s="829"/>
      <c r="O109" s="843" t="str">
        <f>IFERROR(__xludf.DUMMYFUNCTION("""COMPUTED_VALUE"""),"DESAIN INDUSTRI")</f>
        <v>DESAIN INDUSTRI</v>
      </c>
      <c r="P109" s="829"/>
      <c r="Q109" s="995"/>
      <c r="S109" s="798"/>
      <c r="T109" s="798"/>
      <c r="U109" s="798"/>
      <c r="V109" s="798"/>
      <c r="W109" s="798"/>
      <c r="X109" s="798"/>
      <c r="Y109" s="798"/>
      <c r="Z109" s="798"/>
      <c r="AA109" s="798"/>
      <c r="AB109" s="798"/>
      <c r="AC109" s="798"/>
      <c r="AD109" s="798"/>
    </row>
    <row r="110" ht="15.75" hidden="1" customHeight="1">
      <c r="A110" s="798"/>
      <c r="B110" s="823"/>
      <c r="C110" s="823"/>
      <c r="D110" s="986" t="str">
        <f>IFERROR(__xludf.DUMMYFUNCTION("""COMPUTED_VALUE"""),"Pemerintahan Digital (Digital Government)")</f>
        <v>Pemerintahan Digital (Digital Government)</v>
      </c>
      <c r="E110" s="823"/>
      <c r="F110" s="823"/>
      <c r="G110" s="823"/>
      <c r="H110" s="823"/>
      <c r="I110" s="823"/>
      <c r="J110" s="825"/>
      <c r="K110" s="845" t="str">
        <f>IFERROR(__xludf.DUMMYFUNCTION("""COMPUTED_VALUE"""),"Terdaftar DJKI")</f>
        <v>Terdaftar DJKI</v>
      </c>
      <c r="L110" s="845" t="str">
        <f>IFERROR(__xludf.DUMMYFUNCTION("""COMPUTED_VALUE"""),"Tersertifikasi")</f>
        <v>Tersertifikasi</v>
      </c>
      <c r="M110" s="845" t="str">
        <f>IFERROR(__xludf.DUMMYFUNCTION("""COMPUTED_VALUE"""),"Terdaftar DJKI")</f>
        <v>Terdaftar DJKI</v>
      </c>
      <c r="N110" s="845" t="str">
        <f>IFERROR(__xludf.DUMMYFUNCTION("""COMPUTED_VALUE"""),"Tersertifikasi")</f>
        <v>Tersertifikasi</v>
      </c>
      <c r="O110" s="845" t="str">
        <f>IFERROR(__xludf.DUMMYFUNCTION("""COMPUTED_VALUE"""),"Terdaftar DJKI")</f>
        <v>Terdaftar DJKI</v>
      </c>
      <c r="P110" s="845" t="str">
        <f>IFERROR(__xludf.DUMMYFUNCTION("""COMPUTED_VALUE"""),"Tersertifikasi")</f>
        <v>Tersertifikasi</v>
      </c>
      <c r="Q110" s="842"/>
      <c r="R110" s="842"/>
      <c r="S110" s="798"/>
      <c r="T110" s="798"/>
      <c r="U110" s="798"/>
      <c r="V110" s="798"/>
      <c r="W110" s="798"/>
      <c r="X110" s="798"/>
      <c r="Y110" s="798"/>
      <c r="Z110" s="798"/>
      <c r="AA110" s="798"/>
      <c r="AB110" s="798"/>
      <c r="AC110" s="798"/>
      <c r="AD110" s="798"/>
    </row>
    <row r="111" ht="15.75" hidden="1" customHeight="1">
      <c r="A111" s="798"/>
      <c r="B111" s="823"/>
      <c r="C111" s="823"/>
      <c r="D111" s="986" t="str">
        <f>IFERROR(__xludf.DUMMYFUNCTION("""COMPUTED_VALUE"""),"Pemerintahan Digital (Digital Government)")</f>
        <v>Pemerintahan Digital (Digital Government)</v>
      </c>
      <c r="E111" s="400"/>
      <c r="F111" s="400"/>
      <c r="G111" s="400"/>
      <c r="H111" s="400"/>
      <c r="I111" s="400"/>
      <c r="J111" s="825"/>
      <c r="K111" s="830">
        <f>IFERROR(__xludf.DUMMYFUNCTION("""COMPUTED_VALUE"""),0.0)</f>
        <v>0</v>
      </c>
      <c r="L111" s="830">
        <f>IFERROR(__xludf.DUMMYFUNCTION("""COMPUTED_VALUE"""),0.0)</f>
        <v>0</v>
      </c>
      <c r="M111" s="830">
        <f>IFERROR(__xludf.DUMMYFUNCTION("""COMPUTED_VALUE"""),0.0)</f>
        <v>0</v>
      </c>
      <c r="N111" s="830">
        <f>IFERROR(__xludf.DUMMYFUNCTION("""COMPUTED_VALUE"""),0.0)</f>
        <v>0</v>
      </c>
      <c r="O111" s="830">
        <f>IFERROR(__xludf.DUMMYFUNCTION("""COMPUTED_VALUE"""),0.0)</f>
        <v>0</v>
      </c>
      <c r="P111" s="830">
        <f>IFERROR(__xludf.DUMMYFUNCTION("""COMPUTED_VALUE"""),0.0)</f>
        <v>0</v>
      </c>
      <c r="Q111" s="842"/>
      <c r="R111" s="842"/>
      <c r="S111" s="798"/>
      <c r="T111" s="798"/>
      <c r="U111" s="798"/>
      <c r="V111" s="798"/>
      <c r="W111" s="798"/>
      <c r="X111" s="798"/>
      <c r="Y111" s="798"/>
      <c r="Z111" s="798"/>
      <c r="AA111" s="798"/>
      <c r="AB111" s="798"/>
      <c r="AC111" s="798"/>
      <c r="AD111" s="798"/>
    </row>
    <row r="112" ht="15.75" hidden="1" customHeight="1">
      <c r="A112" s="798"/>
      <c r="B112" s="823"/>
      <c r="C112" s="823"/>
      <c r="D112" s="986" t="str">
        <f>IFERROR(__xludf.DUMMYFUNCTION("""COMPUTED_VALUE"""),"Pemerintahan Digital (Digital Government)")</f>
        <v>Pemerintahan Digital (Digital Government)</v>
      </c>
      <c r="E112" s="987"/>
      <c r="F112" s="988" t="str">
        <f>IFERROR(__xludf.DUMMYFUNCTION("""COMPUTED_VALUE"""),"SDM Iptek")</f>
        <v>SDM Iptek</v>
      </c>
      <c r="G112" s="989">
        <f>IFERROR(__xludf.DUMMYFUNCTION("""COMPUTED_VALUE"""),0.0)</f>
        <v>0</v>
      </c>
      <c r="H112" s="990" t="str">
        <f>IFERROR(__xludf.DUMMYFUNCTION("""COMPUTED_VALUE"""),"#DIV/0!")</f>
        <v>#DIV/0!</v>
      </c>
      <c r="I112" s="991" t="str">
        <f>IFERROR(__xludf.DUMMYFUNCTION("""COMPUTED_VALUE"""),"SDM Iptek")</f>
        <v>SDM Iptek</v>
      </c>
      <c r="J112" s="825"/>
      <c r="K112" s="849" t="str">
        <f>IFERROR(__xludf.DUMMYFUNCTION("""COMPUTED_VALUE"""),"S2")</f>
        <v>S2</v>
      </c>
      <c r="L112" s="849" t="str">
        <f>IFERROR(__xludf.DUMMYFUNCTION("""COMPUTED_VALUE"""),"S3")</f>
        <v>S3</v>
      </c>
      <c r="M112" s="857" t="str">
        <f>IFERROR(__xludf.DUMMYFUNCTION("""COMPUTED_VALUE"""),"IJIN BELAJAR")</f>
        <v>IJIN BELAJAR</v>
      </c>
      <c r="N112" s="912" t="str">
        <f>IFERROR(__xludf.DUMMYFUNCTION("""COMPUTED_VALUE"""),"TUGAS BELAJAR")</f>
        <v>TUGAS BELAJAR</v>
      </c>
      <c r="O112" s="996"/>
      <c r="P112" s="996"/>
      <c r="Q112" s="996"/>
      <c r="R112" s="996"/>
      <c r="S112" s="798"/>
      <c r="T112" s="798"/>
      <c r="U112" s="798"/>
      <c r="V112" s="798"/>
      <c r="W112" s="798"/>
      <c r="X112" s="798"/>
      <c r="Y112" s="798"/>
      <c r="Z112" s="798"/>
      <c r="AA112" s="798"/>
      <c r="AB112" s="798"/>
      <c r="AC112" s="798"/>
      <c r="AD112" s="798"/>
    </row>
    <row r="113" ht="15.75" hidden="1" customHeight="1">
      <c r="A113" s="798"/>
      <c r="B113" s="823"/>
      <c r="C113" s="823"/>
      <c r="D113" s="986" t="str">
        <f>IFERROR(__xludf.DUMMYFUNCTION("""COMPUTED_VALUE"""),"Pemerintahan Digital (Digital Government)")</f>
        <v>Pemerintahan Digital (Digital Government)</v>
      </c>
      <c r="E113" s="400"/>
      <c r="F113" s="400"/>
      <c r="G113" s="400"/>
      <c r="H113" s="400"/>
      <c r="I113" s="400"/>
      <c r="J113" s="825"/>
      <c r="K113" s="830">
        <f>IFERROR(__xludf.DUMMYFUNCTION("""COMPUTED_VALUE"""),0.0)</f>
        <v>0</v>
      </c>
      <c r="L113" s="830">
        <f>IFERROR(__xludf.DUMMYFUNCTION("""COMPUTED_VALUE"""),0.0)</f>
        <v>0</v>
      </c>
      <c r="M113" s="830">
        <f>IFERROR(__xludf.DUMMYFUNCTION("""COMPUTED_VALUE"""),0.0)</f>
        <v>0</v>
      </c>
      <c r="N113" s="830">
        <f>IFERROR(__xludf.DUMMYFUNCTION("""COMPUTED_VALUE"""),0.0)</f>
        <v>0</v>
      </c>
      <c r="O113" s="996"/>
      <c r="P113" s="996"/>
      <c r="Q113" s="996"/>
      <c r="R113" s="996"/>
      <c r="S113" s="798"/>
      <c r="T113" s="798"/>
      <c r="U113" s="798"/>
      <c r="V113" s="798"/>
      <c r="W113" s="798"/>
      <c r="X113" s="798"/>
      <c r="Y113" s="798"/>
      <c r="Z113" s="798"/>
      <c r="AA113" s="798"/>
      <c r="AB113" s="798"/>
      <c r="AC113" s="798"/>
      <c r="AD113" s="798"/>
    </row>
    <row r="114" ht="15.75" hidden="1" customHeight="1">
      <c r="A114" s="798"/>
      <c r="B114" s="823"/>
      <c r="C114" s="823"/>
      <c r="D114" s="986" t="str">
        <f>IFERROR(__xludf.DUMMYFUNCTION("""COMPUTED_VALUE"""),"Pemerintahan Digital (Digital Government)")</f>
        <v>Pemerintahan Digital (Digital Government)</v>
      </c>
      <c r="E114" s="987"/>
      <c r="F114" s="988" t="str">
        <f>IFERROR(__xludf.DUMMYFUNCTION("""COMPUTED_VALUE"""),"Peserta Postdoc/Visiting Research")</f>
        <v>Peserta Postdoc/Visiting Research</v>
      </c>
      <c r="G114" s="989">
        <f>IFERROR(__xludf.DUMMYFUNCTION("""COMPUTED_VALUE"""),0.0)</f>
        <v>0</v>
      </c>
      <c r="H114" s="990" t="str">
        <f>IFERROR(__xludf.DUMMYFUNCTION("""COMPUTED_VALUE"""),"#DIV/0!")</f>
        <v>#DIV/0!</v>
      </c>
      <c r="I114" s="991" t="str">
        <f>IFERROR(__xludf.DUMMYFUNCTION("""COMPUTED_VALUE"""),"Peserta Postdoc/Visiting Research")</f>
        <v>Peserta Postdoc/Visiting Research</v>
      </c>
      <c r="J114" s="825"/>
      <c r="K114" s="843" t="str">
        <f>IFERROR(__xludf.DUMMYFUNCTION("""COMPUTED_VALUE"""),"POSTDOCTORAL")</f>
        <v>POSTDOCTORAL</v>
      </c>
      <c r="L114" s="829"/>
      <c r="M114" s="843" t="str">
        <f>IFERROR(__xludf.DUMMYFUNCTION("""COMPUTED_VALUE"""),"VISITING RESEARCH")</f>
        <v>VISITING RESEARCH</v>
      </c>
      <c r="N114" s="829"/>
      <c r="O114" s="860" t="str">
        <f>IFERROR(__xludf.DUMMYFUNCTION("""COMPUTED_VALUE"""),"PUBLIKASI")</f>
        <v>PUBLIKASI</v>
      </c>
      <c r="P114" s="820"/>
      <c r="Q114" s="996"/>
      <c r="R114" s="996"/>
      <c r="S114" s="798"/>
      <c r="T114" s="798"/>
      <c r="U114" s="798"/>
      <c r="V114" s="798"/>
      <c r="W114" s="798"/>
      <c r="X114" s="798"/>
      <c r="Y114" s="798"/>
      <c r="Z114" s="798"/>
      <c r="AA114" s="798"/>
      <c r="AB114" s="798"/>
      <c r="AC114" s="798"/>
      <c r="AD114" s="798"/>
    </row>
    <row r="115" ht="15.75" hidden="1" customHeight="1">
      <c r="A115" s="798"/>
      <c r="B115" s="823"/>
      <c r="C115" s="823"/>
      <c r="D115" s="986" t="str">
        <f>IFERROR(__xludf.DUMMYFUNCTION("""COMPUTED_VALUE"""),"Pemerintahan Digital (Digital Government)")</f>
        <v>Pemerintahan Digital (Digital Government)</v>
      </c>
      <c r="E115" s="823"/>
      <c r="F115" s="823"/>
      <c r="G115" s="823"/>
      <c r="H115" s="823"/>
      <c r="I115" s="823"/>
      <c r="J115" s="825"/>
      <c r="K115" s="827" t="str">
        <f>IFERROR(__xludf.DUMMYFUNCTION("""COMPUTED_VALUE"""),"Dalam Negeri")</f>
        <v>Dalam Negeri</v>
      </c>
      <c r="L115" s="827" t="str">
        <f>IFERROR(__xludf.DUMMYFUNCTION("""COMPUTED_VALUE"""),"Luar Negeri")</f>
        <v>Luar Negeri</v>
      </c>
      <c r="M115" s="827" t="str">
        <f>IFERROR(__xludf.DUMMYFUNCTION("""COMPUTED_VALUE"""),"Dalam Negeri")</f>
        <v>Dalam Negeri</v>
      </c>
      <c r="N115" s="827" t="str">
        <f>IFERROR(__xludf.DUMMYFUNCTION("""COMPUTED_VALUE"""),"Luar Negeri")</f>
        <v>Luar Negeri</v>
      </c>
      <c r="O115" s="1009" t="str">
        <f>IFERROR(__xludf.DUMMYFUNCTION("""COMPUTED_VALUE"""),"Dalam Negeri")</f>
        <v>Dalam Negeri</v>
      </c>
      <c r="P115" s="1009" t="str">
        <f>IFERROR(__xludf.DUMMYFUNCTION("""COMPUTED_VALUE"""),"Luar Negeri")</f>
        <v>Luar Negeri</v>
      </c>
      <c r="Q115" s="996"/>
      <c r="R115" s="996"/>
      <c r="S115" s="798"/>
      <c r="T115" s="798"/>
      <c r="U115" s="798"/>
      <c r="V115" s="798"/>
      <c r="W115" s="798"/>
      <c r="X115" s="798"/>
      <c r="Y115" s="798"/>
      <c r="Z115" s="798"/>
      <c r="AA115" s="798"/>
      <c r="AB115" s="798"/>
      <c r="AC115" s="798"/>
      <c r="AD115" s="798"/>
    </row>
    <row r="116" ht="15.75" hidden="1" customHeight="1">
      <c r="A116" s="798"/>
      <c r="B116" s="823"/>
      <c r="C116" s="823"/>
      <c r="D116" s="986" t="str">
        <f>IFERROR(__xludf.DUMMYFUNCTION("""COMPUTED_VALUE"""),"Pemerintahan Digital (Digital Government)")</f>
        <v>Pemerintahan Digital (Digital Government)</v>
      </c>
      <c r="E116" s="400"/>
      <c r="F116" s="400"/>
      <c r="G116" s="400"/>
      <c r="H116" s="400"/>
      <c r="I116" s="400"/>
      <c r="J116" s="825"/>
      <c r="K116" s="916">
        <f>IFERROR(__xludf.DUMMYFUNCTION("""COMPUTED_VALUE"""),0.0)</f>
        <v>0</v>
      </c>
      <c r="L116" s="916">
        <f>IFERROR(__xludf.DUMMYFUNCTION("""COMPUTED_VALUE"""),0.0)</f>
        <v>0</v>
      </c>
      <c r="M116" s="916">
        <f>IFERROR(__xludf.DUMMYFUNCTION("""COMPUTED_VALUE"""),0.0)</f>
        <v>0</v>
      </c>
      <c r="N116" s="916">
        <f>IFERROR(__xludf.DUMMYFUNCTION("""COMPUTED_VALUE"""),0.0)</f>
        <v>0</v>
      </c>
      <c r="O116" s="916">
        <f>IFERROR(__xludf.DUMMYFUNCTION("""COMPUTED_VALUE"""),0.0)</f>
        <v>0</v>
      </c>
      <c r="P116" s="916">
        <f>IFERROR(__xludf.DUMMYFUNCTION("""COMPUTED_VALUE"""),0.0)</f>
        <v>0</v>
      </c>
      <c r="Q116" s="996"/>
      <c r="R116" s="996"/>
      <c r="S116" s="798"/>
      <c r="T116" s="798"/>
      <c r="U116" s="798"/>
      <c r="V116" s="798"/>
      <c r="W116" s="798"/>
      <c r="X116" s="798"/>
      <c r="Y116" s="798"/>
      <c r="Z116" s="798"/>
      <c r="AA116" s="798"/>
      <c r="AB116" s="798"/>
      <c r="AC116" s="798"/>
      <c r="AD116" s="798"/>
    </row>
    <row r="117" ht="15.75" hidden="1" customHeight="1">
      <c r="A117" s="798"/>
      <c r="B117" s="823"/>
      <c r="C117" s="823"/>
      <c r="D117" s="986" t="str">
        <f>IFERROR(__xludf.DUMMYFUNCTION("""COMPUTED_VALUE"""),"Pemerintahan Digital (Digital Government)")</f>
        <v>Pemerintahan Digital (Digital Government)</v>
      </c>
      <c r="E117" s="997"/>
      <c r="F117" s="1011" t="str">
        <f>IFERROR(__xludf.DUMMYFUNCTION("""COMPUTED_VALUE"""),"Kerjasama")</f>
        <v>Kerjasama</v>
      </c>
      <c r="G117" s="989">
        <f>IFERROR(__xludf.DUMMYFUNCTION("""COMPUTED_VALUE"""),0.0)</f>
        <v>0</v>
      </c>
      <c r="H117" s="990" t="str">
        <f>IFERROR(__xludf.DUMMYFUNCTION("""COMPUTED_VALUE"""),"#DIV/0!")</f>
        <v>#DIV/0!</v>
      </c>
      <c r="I117" s="991" t="str">
        <f>IFERROR(__xludf.DUMMYFUNCTION("""COMPUTED_VALUE"""),"Kerjasama")</f>
        <v>Kerjasama</v>
      </c>
      <c r="J117" s="825"/>
      <c r="K117" s="849" t="str">
        <f>IFERROR(__xludf.DUMMYFUNCTION("""COMPUTED_VALUE"""),"PNBP")</f>
        <v>PNBP</v>
      </c>
      <c r="L117" s="849" t="str">
        <f>IFERROR(__xludf.DUMMYFUNCTION("""COMPUTED_VALUE"""),"HIBAH")</f>
        <v>HIBAH</v>
      </c>
      <c r="M117" s="849" t="str">
        <f>IFERROR(__xludf.DUMMYFUNCTION("""COMPUTED_VALUE"""),"MITRA/UNV")</f>
        <v>MITRA/UNV</v>
      </c>
      <c r="N117" s="849" t="str">
        <f>IFERROR(__xludf.DUMMYFUNCTION("""COMPUTED_VALUE"""),"POSTDOC")</f>
        <v>POSTDOC</v>
      </c>
      <c r="O117" s="849" t="str">
        <f>IFERROR(__xludf.DUMMYFUNCTION("""COMPUTED_VALUE"""),"VISITING RSRCH")</f>
        <v>VISITING RSRCH</v>
      </c>
      <c r="P117" s="850" t="str">
        <f>IFERROR(__xludf.DUMMYFUNCTION("""COMPUTED_VALUE"""),"RIMM")</f>
        <v>RIMM</v>
      </c>
      <c r="Q117" s="849" t="str">
        <f>IFERROR(__xludf.DUMMYFUNCTION("""COMPUTED_VALUE"""),"LISENSI")</f>
        <v>LISENSI</v>
      </c>
      <c r="R117" s="851" t="str">
        <f>IFERROR(__xludf.DUMMYFUNCTION("""COMPUTED_VALUE"""),"DALAM NEGERI")</f>
        <v>DALAM NEGERI</v>
      </c>
      <c r="S117" s="851" t="str">
        <f>IFERROR(__xludf.DUMMYFUNCTION("""COMPUTED_VALUE"""),"LUAR NEGERI")</f>
        <v>LUAR NEGERI</v>
      </c>
      <c r="T117" s="798"/>
      <c r="U117" s="798"/>
      <c r="V117" s="798"/>
      <c r="W117" s="798"/>
      <c r="X117" s="798"/>
      <c r="Y117" s="798"/>
      <c r="Z117" s="798"/>
      <c r="AA117" s="798"/>
      <c r="AB117" s="798"/>
      <c r="AC117" s="798"/>
      <c r="AD117" s="798"/>
    </row>
    <row r="118" ht="15.75" hidden="1" customHeight="1">
      <c r="A118" s="798"/>
      <c r="B118" s="823"/>
      <c r="C118" s="823"/>
      <c r="D118" s="986" t="str">
        <f>IFERROR(__xludf.DUMMYFUNCTION("""COMPUTED_VALUE"""),"Pemerintahan Digital (Digital Government)")</f>
        <v>Pemerintahan Digital (Digital Government)</v>
      </c>
      <c r="E118" s="400"/>
      <c r="F118" s="400"/>
      <c r="G118" s="400"/>
      <c r="H118" s="400"/>
      <c r="I118" s="400"/>
      <c r="J118" s="825"/>
      <c r="K118" s="830">
        <f>IFERROR(__xludf.DUMMYFUNCTION("""COMPUTED_VALUE"""),0.0)</f>
        <v>0</v>
      </c>
      <c r="L118" s="830">
        <f>IFERROR(__xludf.DUMMYFUNCTION("""COMPUTED_VALUE"""),0.0)</f>
        <v>0</v>
      </c>
      <c r="M118" s="830">
        <f>IFERROR(__xludf.DUMMYFUNCTION("""COMPUTED_VALUE"""),0.0)</f>
        <v>0</v>
      </c>
      <c r="N118" s="830">
        <f>IFERROR(__xludf.DUMMYFUNCTION("""COMPUTED_VALUE"""),0.0)</f>
        <v>0</v>
      </c>
      <c r="O118" s="830">
        <f>IFERROR(__xludf.DUMMYFUNCTION("""COMPUTED_VALUE"""),0.0)</f>
        <v>0</v>
      </c>
      <c r="P118" s="996">
        <f>IFERROR(__xludf.DUMMYFUNCTION("""COMPUTED_VALUE"""),0.0)</f>
        <v>0</v>
      </c>
      <c r="Q118" s="830">
        <f>IFERROR(__xludf.DUMMYFUNCTION("""COMPUTED_VALUE"""),0.0)</f>
        <v>0</v>
      </c>
      <c r="R118" s="830">
        <f>IFERROR(__xludf.DUMMYFUNCTION("""COMPUTED_VALUE"""),0.0)</f>
        <v>0</v>
      </c>
      <c r="S118" s="830">
        <f>IFERROR(__xludf.DUMMYFUNCTION("""COMPUTED_VALUE"""),0.0)</f>
        <v>0</v>
      </c>
      <c r="T118" s="798"/>
      <c r="U118" s="798"/>
      <c r="V118" s="798"/>
      <c r="W118" s="798"/>
      <c r="X118" s="798"/>
      <c r="Y118" s="798"/>
      <c r="Z118" s="798"/>
      <c r="AA118" s="798"/>
      <c r="AB118" s="798"/>
      <c r="AC118" s="798"/>
      <c r="AD118" s="798"/>
    </row>
    <row r="119" ht="15.75" hidden="1" customHeight="1">
      <c r="A119" s="798"/>
      <c r="B119" s="823"/>
      <c r="C119" s="823"/>
      <c r="D119" s="986" t="str">
        <f>IFERROR(__xludf.DUMMYFUNCTION("""COMPUTED_VALUE"""),"Pemerintahan Digital (Digital Government)")</f>
        <v>Pemerintahan Digital (Digital Government)</v>
      </c>
      <c r="E119" s="997"/>
      <c r="F119" s="1011" t="str">
        <f>IFERROR(__xludf.DUMMYFUNCTION("""COMPUTED_VALUE"""),"Dana Eksternal")</f>
        <v>Dana Eksternal</v>
      </c>
      <c r="G119" s="999">
        <f>IFERROR(__xludf.DUMMYFUNCTION("""COMPUTED_VALUE"""),0.0)</f>
        <v>0</v>
      </c>
      <c r="H119" s="990" t="str">
        <f>IFERROR(__xludf.DUMMYFUNCTION("""COMPUTED_VALUE"""),"#DIV/0!")</f>
        <v>#DIV/0!</v>
      </c>
      <c r="I119" s="991" t="str">
        <f>IFERROR(__xludf.DUMMYFUNCTION("""COMPUTED_VALUE"""),"Dana Eksternal")</f>
        <v>Dana Eksternal</v>
      </c>
      <c r="J119" s="825"/>
      <c r="K119" s="849" t="str">
        <f>IFERROR(__xludf.DUMMYFUNCTION("""COMPUTED_VALUE"""),"PNBP")</f>
        <v>PNBP</v>
      </c>
      <c r="L119" s="849" t="str">
        <f>IFERROR(__xludf.DUMMYFUNCTION("""COMPUTED_VALUE"""),"HIBAH")</f>
        <v>HIBAH</v>
      </c>
      <c r="M119" s="849" t="str">
        <f>IFERROR(__xludf.DUMMYFUNCTION("""COMPUTED_VALUE"""),"MITRA/UNV")</f>
        <v>MITRA/UNV</v>
      </c>
      <c r="N119" s="849" t="str">
        <f>IFERROR(__xludf.DUMMYFUNCTION("""COMPUTED_VALUE"""),"POSTDOC")</f>
        <v>POSTDOC</v>
      </c>
      <c r="O119" s="849" t="str">
        <f>IFERROR(__xludf.DUMMYFUNCTION("""COMPUTED_VALUE"""),"VISITING RSRCH")</f>
        <v>VISITING RSRCH</v>
      </c>
      <c r="P119" s="850" t="str">
        <f>IFERROR(__xludf.DUMMYFUNCTION("""COMPUTED_VALUE"""),"RIMM")</f>
        <v>RIMM</v>
      </c>
      <c r="Q119" s="850" t="str">
        <f>IFERROR(__xludf.DUMMYFUNCTION("""COMPUTED_VALUE"""),"LISENSI")</f>
        <v>LISENSI</v>
      </c>
      <c r="R119" s="851" t="str">
        <f>IFERROR(__xludf.DUMMYFUNCTION("""COMPUTED_VALUE"""),"DALAM NEGERI")</f>
        <v>DALAM NEGERI</v>
      </c>
      <c r="S119" s="851" t="str">
        <f>IFERROR(__xludf.DUMMYFUNCTION("""COMPUTED_VALUE"""),"LUAR NEGERI")</f>
        <v>LUAR NEGERI</v>
      </c>
      <c r="T119" s="852" t="str">
        <f>IFERROR(__xludf.DUMMYFUNCTION("""COMPUTED_VALUE"""),"IN CASH")</f>
        <v>IN CASH</v>
      </c>
      <c r="U119" s="852" t="str">
        <f>IFERROR(__xludf.DUMMYFUNCTION("""COMPUTED_VALUE"""),"IN KIND")</f>
        <v>IN KIND</v>
      </c>
      <c r="V119" s="798"/>
      <c r="W119" s="798"/>
      <c r="X119" s="798"/>
      <c r="Y119" s="798"/>
      <c r="Z119" s="798"/>
      <c r="AA119" s="798"/>
      <c r="AB119" s="798"/>
      <c r="AC119" s="798"/>
      <c r="AD119" s="798"/>
    </row>
    <row r="120" ht="15.75" hidden="1" customHeight="1">
      <c r="A120" s="798"/>
      <c r="B120" s="400"/>
      <c r="C120" s="400"/>
      <c r="D120" s="986" t="str">
        <f>IFERROR(__xludf.DUMMYFUNCTION("""COMPUTED_VALUE"""),"Pemerintahan Digital (Digital Government)")</f>
        <v>Pemerintahan Digital (Digital Government)</v>
      </c>
      <c r="E120" s="400"/>
      <c r="F120" s="400"/>
      <c r="G120" s="400"/>
      <c r="H120" s="400"/>
      <c r="I120" s="400"/>
      <c r="J120" s="829"/>
      <c r="K120" s="853">
        <f>IFERROR(__xludf.DUMMYFUNCTION("""COMPUTED_VALUE"""),0.0)</f>
        <v>0</v>
      </c>
      <c r="L120" s="853">
        <f>IFERROR(__xludf.DUMMYFUNCTION("""COMPUTED_VALUE"""),0.0)</f>
        <v>0</v>
      </c>
      <c r="M120" s="853">
        <f>IFERROR(__xludf.DUMMYFUNCTION("""COMPUTED_VALUE"""),0.0)</f>
        <v>0</v>
      </c>
      <c r="N120" s="853">
        <f>IFERROR(__xludf.DUMMYFUNCTION("""COMPUTED_VALUE"""),0.0)</f>
        <v>0</v>
      </c>
      <c r="O120" s="853">
        <f>IFERROR(__xludf.DUMMYFUNCTION("""COMPUTED_VALUE"""),0.0)</f>
        <v>0</v>
      </c>
      <c r="P120" s="853">
        <f>IFERROR(__xludf.DUMMYFUNCTION("""COMPUTED_VALUE"""),0.0)</f>
        <v>0</v>
      </c>
      <c r="Q120" s="853">
        <f>IFERROR(__xludf.DUMMYFUNCTION("""COMPUTED_VALUE"""),0.0)</f>
        <v>0</v>
      </c>
      <c r="R120" s="853">
        <f>IFERROR(__xludf.DUMMYFUNCTION("""COMPUTED_VALUE"""),0.0)</f>
        <v>0</v>
      </c>
      <c r="S120" s="853">
        <f>IFERROR(__xludf.DUMMYFUNCTION("""COMPUTED_VALUE"""),0.0)</f>
        <v>0</v>
      </c>
      <c r="T120" s="853">
        <f>IFERROR(__xludf.DUMMYFUNCTION("""COMPUTED_VALUE"""),0.0)</f>
        <v>0</v>
      </c>
      <c r="U120" s="853">
        <f>IFERROR(__xludf.DUMMYFUNCTION("""COMPUTED_VALUE"""),0.0)</f>
        <v>0</v>
      </c>
      <c r="V120" s="798"/>
      <c r="W120" s="798"/>
      <c r="X120" s="798"/>
      <c r="Y120" s="798"/>
      <c r="Z120" s="798"/>
      <c r="AA120" s="798"/>
      <c r="AB120" s="798"/>
      <c r="AC120" s="798"/>
      <c r="AD120" s="798"/>
    </row>
    <row r="121" ht="15.75" hidden="1" customHeight="1">
      <c r="A121" s="798"/>
      <c r="B121" s="798"/>
      <c r="C121" s="798"/>
      <c r="D121" s="798"/>
      <c r="E121" s="798"/>
      <c r="F121" s="798"/>
      <c r="G121" s="798"/>
      <c r="H121" s="798"/>
      <c r="I121" s="798"/>
      <c r="J121" s="798"/>
      <c r="K121" s="798"/>
      <c r="L121" s="798"/>
      <c r="M121" s="798"/>
      <c r="N121" s="798"/>
      <c r="O121" s="798"/>
      <c r="P121" s="798"/>
      <c r="Q121" s="798"/>
      <c r="R121" s="798"/>
      <c r="S121" s="798"/>
      <c r="T121" s="798"/>
      <c r="U121" s="798"/>
      <c r="V121" s="798"/>
      <c r="W121" s="798"/>
      <c r="X121" s="798"/>
      <c r="Y121" s="798"/>
      <c r="Z121" s="798"/>
      <c r="AA121" s="798"/>
      <c r="AB121" s="798"/>
      <c r="AC121" s="798"/>
      <c r="AD121" s="798"/>
    </row>
    <row r="122" ht="15.75" hidden="1" customHeight="1">
      <c r="A122" s="798"/>
      <c r="B122" s="984"/>
      <c r="C122" s="985"/>
      <c r="D122" s="986"/>
      <c r="E122" s="987"/>
      <c r="F122" s="988"/>
      <c r="G122" s="989"/>
      <c r="H122" s="990"/>
      <c r="I122" s="991"/>
      <c r="J122" s="992"/>
      <c r="K122" s="819"/>
      <c r="L122" s="820"/>
      <c r="M122" s="819"/>
      <c r="N122" s="820"/>
      <c r="O122" s="819"/>
      <c r="P122" s="820"/>
      <c r="Q122" s="828"/>
      <c r="R122" s="828"/>
      <c r="S122" s="798"/>
      <c r="T122" s="798"/>
      <c r="U122" s="798"/>
      <c r="V122" s="798"/>
      <c r="W122" s="798"/>
      <c r="X122" s="798"/>
      <c r="Y122" s="798"/>
      <c r="Z122" s="798"/>
      <c r="AA122" s="798"/>
      <c r="AB122" s="798"/>
      <c r="AC122" s="798"/>
      <c r="AD122" s="798"/>
    </row>
    <row r="123" ht="15.75" hidden="1" customHeight="1">
      <c r="A123" s="798"/>
      <c r="B123" s="823"/>
      <c r="C123" s="823"/>
      <c r="D123" s="986"/>
      <c r="E123" s="823"/>
      <c r="F123" s="823"/>
      <c r="G123" s="823"/>
      <c r="H123" s="823"/>
      <c r="I123" s="823"/>
      <c r="J123" s="825"/>
      <c r="K123" s="827"/>
      <c r="L123" s="827"/>
      <c r="M123" s="827"/>
      <c r="N123" s="827"/>
      <c r="O123" s="827"/>
      <c r="P123" s="827"/>
      <c r="Q123" s="828"/>
      <c r="R123" s="828"/>
      <c r="S123" s="798"/>
      <c r="T123" s="798"/>
      <c r="U123" s="798"/>
      <c r="V123" s="798"/>
      <c r="W123" s="798"/>
      <c r="X123" s="798"/>
      <c r="Y123" s="798"/>
      <c r="Z123" s="798"/>
      <c r="AA123" s="798"/>
      <c r="AB123" s="798"/>
      <c r="AC123" s="798"/>
      <c r="AD123" s="798"/>
    </row>
    <row r="124" ht="15.75" hidden="1" customHeight="1">
      <c r="A124" s="798"/>
      <c r="B124" s="823"/>
      <c r="C124" s="823"/>
      <c r="D124" s="986"/>
      <c r="E124" s="400"/>
      <c r="F124" s="400"/>
      <c r="G124" s="400"/>
      <c r="H124" s="400"/>
      <c r="I124" s="400"/>
      <c r="J124" s="825"/>
      <c r="K124" s="830"/>
      <c r="L124" s="830"/>
      <c r="M124" s="830"/>
      <c r="N124" s="830"/>
      <c r="O124" s="830"/>
      <c r="P124" s="830"/>
      <c r="Q124" s="828"/>
      <c r="R124" s="828"/>
      <c r="S124" s="798"/>
      <c r="T124" s="798"/>
      <c r="U124" s="798"/>
      <c r="V124" s="798"/>
      <c r="W124" s="798"/>
      <c r="X124" s="798"/>
      <c r="Y124" s="798"/>
      <c r="Z124" s="798"/>
      <c r="AA124" s="798"/>
      <c r="AB124" s="798"/>
      <c r="AC124" s="798"/>
      <c r="AD124" s="798"/>
    </row>
    <row r="125" ht="15.75" hidden="1" customHeight="1">
      <c r="A125" s="798"/>
      <c r="B125" s="823"/>
      <c r="C125" s="823"/>
      <c r="D125" s="986"/>
      <c r="E125" s="987"/>
      <c r="F125" s="988"/>
      <c r="G125" s="989"/>
      <c r="H125" s="990"/>
      <c r="I125" s="991"/>
      <c r="J125" s="825"/>
      <c r="K125" s="819"/>
      <c r="L125" s="820"/>
      <c r="M125" s="837"/>
      <c r="N125" s="820"/>
      <c r="O125" s="837"/>
      <c r="P125" s="820"/>
      <c r="Q125" s="837"/>
      <c r="R125" s="820"/>
      <c r="S125" s="798"/>
      <c r="T125" s="798"/>
      <c r="U125" s="798"/>
      <c r="V125" s="798"/>
      <c r="W125" s="798"/>
      <c r="X125" s="798"/>
      <c r="Y125" s="798"/>
      <c r="Z125" s="798"/>
      <c r="AA125" s="798"/>
      <c r="AB125" s="798"/>
      <c r="AC125" s="798"/>
      <c r="AD125" s="798"/>
    </row>
    <row r="126" ht="15.75" hidden="1" customHeight="1">
      <c r="A126" s="798"/>
      <c r="B126" s="823"/>
      <c r="C126" s="823"/>
      <c r="D126" s="986"/>
      <c r="E126" s="823"/>
      <c r="F126" s="823"/>
      <c r="G126" s="823"/>
      <c r="H126" s="823"/>
      <c r="I126" s="823"/>
      <c r="J126" s="825"/>
      <c r="K126" s="827"/>
      <c r="L126" s="827"/>
      <c r="M126" s="838"/>
      <c r="N126" s="838"/>
      <c r="O126" s="838"/>
      <c r="P126" s="838"/>
      <c r="Q126" s="838"/>
      <c r="R126" s="838"/>
      <c r="S126" s="798"/>
      <c r="T126" s="798"/>
      <c r="U126" s="798"/>
      <c r="V126" s="798"/>
      <c r="W126" s="798"/>
      <c r="X126" s="798"/>
      <c r="Y126" s="798"/>
      <c r="Z126" s="798"/>
      <c r="AA126" s="798"/>
      <c r="AB126" s="798"/>
      <c r="AC126" s="798"/>
      <c r="AD126" s="798"/>
    </row>
    <row r="127" ht="15.75" hidden="1" customHeight="1">
      <c r="A127" s="798"/>
      <c r="B127" s="823"/>
      <c r="C127" s="823"/>
      <c r="D127" s="986"/>
      <c r="E127" s="400"/>
      <c r="F127" s="400"/>
      <c r="G127" s="400"/>
      <c r="H127" s="400"/>
      <c r="I127" s="400"/>
      <c r="J127" s="825"/>
      <c r="K127" s="840"/>
      <c r="L127" s="841"/>
      <c r="M127" s="840"/>
      <c r="N127" s="841"/>
      <c r="O127" s="840"/>
      <c r="P127" s="841"/>
      <c r="Q127" s="840"/>
      <c r="R127" s="841"/>
      <c r="S127" s="798"/>
      <c r="T127" s="798"/>
      <c r="U127" s="798"/>
      <c r="V127" s="798"/>
      <c r="W127" s="798"/>
      <c r="X127" s="798"/>
      <c r="Y127" s="798"/>
      <c r="Z127" s="798"/>
      <c r="AA127" s="798"/>
      <c r="AB127" s="798"/>
      <c r="AC127" s="798"/>
      <c r="AD127" s="798"/>
    </row>
    <row r="128" ht="15.75" hidden="1" customHeight="1">
      <c r="A128" s="798"/>
      <c r="B128" s="823"/>
      <c r="C128" s="823"/>
      <c r="D128" s="986"/>
      <c r="E128" s="987"/>
      <c r="F128" s="988"/>
      <c r="G128" s="989"/>
      <c r="H128" s="990"/>
      <c r="I128" s="991"/>
      <c r="J128" s="825"/>
      <c r="K128" s="843"/>
      <c r="L128" s="829"/>
      <c r="M128" s="843"/>
      <c r="N128" s="829"/>
      <c r="O128" s="843"/>
      <c r="P128" s="829"/>
      <c r="Q128" s="995"/>
      <c r="S128" s="798"/>
      <c r="T128" s="798"/>
      <c r="U128" s="798"/>
      <c r="V128" s="798"/>
      <c r="W128" s="798"/>
      <c r="X128" s="798"/>
      <c r="Y128" s="798"/>
      <c r="Z128" s="798"/>
      <c r="AA128" s="798"/>
      <c r="AB128" s="798"/>
      <c r="AC128" s="798"/>
      <c r="AD128" s="798"/>
    </row>
    <row r="129" ht="15.75" hidden="1" customHeight="1">
      <c r="A129" s="798"/>
      <c r="B129" s="823"/>
      <c r="C129" s="823"/>
      <c r="D129" s="986"/>
      <c r="E129" s="823"/>
      <c r="F129" s="823"/>
      <c r="G129" s="823"/>
      <c r="H129" s="823"/>
      <c r="I129" s="823"/>
      <c r="J129" s="825"/>
      <c r="K129" s="845"/>
      <c r="L129" s="845"/>
      <c r="M129" s="845"/>
      <c r="N129" s="845"/>
      <c r="O129" s="845"/>
      <c r="P129" s="845"/>
      <c r="Q129" s="842"/>
      <c r="R129" s="842"/>
      <c r="S129" s="798"/>
      <c r="T129" s="798"/>
      <c r="U129" s="798"/>
      <c r="V129" s="798"/>
      <c r="W129" s="798"/>
      <c r="X129" s="798"/>
      <c r="Y129" s="798"/>
      <c r="Z129" s="798"/>
      <c r="AA129" s="798"/>
      <c r="AB129" s="798"/>
      <c r="AC129" s="798"/>
      <c r="AD129" s="798"/>
    </row>
    <row r="130" ht="15.75" hidden="1" customHeight="1">
      <c r="A130" s="798"/>
      <c r="B130" s="823"/>
      <c r="C130" s="823"/>
      <c r="D130" s="986"/>
      <c r="E130" s="400"/>
      <c r="F130" s="400"/>
      <c r="G130" s="400"/>
      <c r="H130" s="400"/>
      <c r="I130" s="400"/>
      <c r="J130" s="825"/>
      <c r="K130" s="830"/>
      <c r="L130" s="830"/>
      <c r="M130" s="830"/>
      <c r="N130" s="830"/>
      <c r="O130" s="830"/>
      <c r="P130" s="830"/>
      <c r="Q130" s="842"/>
      <c r="R130" s="842"/>
      <c r="S130" s="798"/>
      <c r="T130" s="798"/>
      <c r="U130" s="798"/>
      <c r="V130" s="798"/>
      <c r="W130" s="798"/>
      <c r="X130" s="798"/>
      <c r="Y130" s="798"/>
      <c r="Z130" s="798"/>
      <c r="AA130" s="798"/>
      <c r="AB130" s="798"/>
      <c r="AC130" s="798"/>
      <c r="AD130" s="798"/>
    </row>
    <row r="131" ht="15.75" hidden="1" customHeight="1">
      <c r="A131" s="798"/>
      <c r="B131" s="823"/>
      <c r="C131" s="823"/>
      <c r="D131" s="986"/>
      <c r="E131" s="987"/>
      <c r="F131" s="988"/>
      <c r="G131" s="989"/>
      <c r="H131" s="990"/>
      <c r="I131" s="991"/>
      <c r="J131" s="825"/>
      <c r="K131" s="849"/>
      <c r="L131" s="849"/>
      <c r="M131" s="857"/>
      <c r="N131" s="912"/>
      <c r="O131" s="996"/>
      <c r="P131" s="996"/>
      <c r="Q131" s="996"/>
      <c r="R131" s="996"/>
      <c r="S131" s="798"/>
      <c r="T131" s="798"/>
      <c r="U131" s="798"/>
      <c r="V131" s="798"/>
      <c r="W131" s="798"/>
      <c r="X131" s="798"/>
      <c r="Y131" s="798"/>
      <c r="Z131" s="798"/>
      <c r="AA131" s="798"/>
      <c r="AB131" s="798"/>
      <c r="AC131" s="798"/>
      <c r="AD131" s="798"/>
    </row>
    <row r="132" ht="15.75" hidden="1" customHeight="1">
      <c r="A132" s="798"/>
      <c r="B132" s="823"/>
      <c r="C132" s="823"/>
      <c r="D132" s="986"/>
      <c r="E132" s="400"/>
      <c r="F132" s="400"/>
      <c r="G132" s="400"/>
      <c r="H132" s="400"/>
      <c r="I132" s="400"/>
      <c r="J132" s="825"/>
      <c r="K132" s="830"/>
      <c r="L132" s="830"/>
      <c r="M132" s="830"/>
      <c r="N132" s="830"/>
      <c r="O132" s="996"/>
      <c r="P132" s="996"/>
      <c r="Q132" s="996"/>
      <c r="R132" s="996"/>
      <c r="S132" s="798"/>
      <c r="T132" s="798"/>
      <c r="U132" s="798"/>
      <c r="V132" s="798"/>
      <c r="W132" s="798"/>
      <c r="X132" s="798"/>
      <c r="Y132" s="798"/>
      <c r="Z132" s="798"/>
      <c r="AA132" s="798"/>
      <c r="AB132" s="798"/>
      <c r="AC132" s="798"/>
      <c r="AD132" s="798"/>
    </row>
    <row r="133" ht="15.75" hidden="1" customHeight="1">
      <c r="A133" s="798"/>
      <c r="B133" s="823"/>
      <c r="C133" s="823"/>
      <c r="D133" s="986"/>
      <c r="E133" s="987"/>
      <c r="F133" s="988"/>
      <c r="G133" s="989"/>
      <c r="H133" s="990"/>
      <c r="I133" s="991"/>
      <c r="J133" s="825"/>
      <c r="K133" s="843"/>
      <c r="L133" s="829"/>
      <c r="M133" s="843"/>
      <c r="N133" s="829"/>
      <c r="O133" s="860"/>
      <c r="P133" s="820"/>
      <c r="Q133" s="996"/>
      <c r="R133" s="996"/>
      <c r="S133" s="798"/>
      <c r="T133" s="798"/>
      <c r="U133" s="798"/>
      <c r="V133" s="798"/>
      <c r="W133" s="798"/>
      <c r="X133" s="798"/>
      <c r="Y133" s="798"/>
      <c r="Z133" s="798"/>
      <c r="AA133" s="798"/>
      <c r="AB133" s="798"/>
      <c r="AC133" s="798"/>
      <c r="AD133" s="798"/>
    </row>
    <row r="134" ht="15.75" hidden="1" customHeight="1">
      <c r="A134" s="798"/>
      <c r="B134" s="823"/>
      <c r="C134" s="823"/>
      <c r="D134" s="986"/>
      <c r="E134" s="823"/>
      <c r="F134" s="823"/>
      <c r="G134" s="823"/>
      <c r="H134" s="823"/>
      <c r="I134" s="823"/>
      <c r="J134" s="825"/>
      <c r="K134" s="827"/>
      <c r="L134" s="827"/>
      <c r="M134" s="827"/>
      <c r="N134" s="827"/>
      <c r="O134" s="1009"/>
      <c r="P134" s="1009"/>
      <c r="Q134" s="996"/>
      <c r="R134" s="996"/>
      <c r="S134" s="798"/>
      <c r="T134" s="798"/>
      <c r="U134" s="798"/>
      <c r="V134" s="798"/>
      <c r="W134" s="798"/>
      <c r="X134" s="798"/>
      <c r="Y134" s="798"/>
      <c r="Z134" s="798"/>
      <c r="AA134" s="798"/>
      <c r="AB134" s="798"/>
      <c r="AC134" s="798"/>
      <c r="AD134" s="798"/>
    </row>
    <row r="135" ht="15.75" hidden="1" customHeight="1">
      <c r="A135" s="798"/>
      <c r="B135" s="823"/>
      <c r="C135" s="823"/>
      <c r="D135" s="986"/>
      <c r="E135" s="400"/>
      <c r="F135" s="400"/>
      <c r="G135" s="400"/>
      <c r="H135" s="400"/>
      <c r="I135" s="400"/>
      <c r="J135" s="825"/>
      <c r="K135" s="916"/>
      <c r="L135" s="916"/>
      <c r="M135" s="916"/>
      <c r="N135" s="916"/>
      <c r="O135" s="916"/>
      <c r="P135" s="916"/>
      <c r="Q135" s="996"/>
      <c r="R135" s="996"/>
      <c r="S135" s="798"/>
      <c r="T135" s="798"/>
      <c r="U135" s="798"/>
      <c r="V135" s="798"/>
      <c r="W135" s="798"/>
      <c r="X135" s="798"/>
      <c r="Y135" s="798"/>
      <c r="Z135" s="798"/>
      <c r="AA135" s="798"/>
      <c r="AB135" s="798"/>
      <c r="AC135" s="798"/>
      <c r="AD135" s="798"/>
    </row>
    <row r="136" ht="15.75" hidden="1" customHeight="1">
      <c r="A136" s="798"/>
      <c r="B136" s="823"/>
      <c r="C136" s="823"/>
      <c r="D136" s="986"/>
      <c r="E136" s="997"/>
      <c r="F136" s="1011"/>
      <c r="G136" s="989"/>
      <c r="H136" s="990"/>
      <c r="I136" s="991"/>
      <c r="J136" s="825"/>
      <c r="K136" s="849"/>
      <c r="L136" s="849"/>
      <c r="M136" s="849"/>
      <c r="N136" s="849"/>
      <c r="O136" s="849"/>
      <c r="P136" s="850"/>
      <c r="Q136" s="849"/>
      <c r="R136" s="851"/>
      <c r="S136" s="851"/>
      <c r="T136" s="798"/>
      <c r="U136" s="798"/>
      <c r="V136" s="798"/>
      <c r="W136" s="798"/>
      <c r="X136" s="798"/>
      <c r="Y136" s="798"/>
      <c r="Z136" s="798"/>
      <c r="AA136" s="798"/>
      <c r="AB136" s="798"/>
      <c r="AC136" s="798"/>
      <c r="AD136" s="798"/>
    </row>
    <row r="137" ht="15.75" hidden="1" customHeight="1">
      <c r="A137" s="798"/>
      <c r="B137" s="823"/>
      <c r="C137" s="823"/>
      <c r="D137" s="986"/>
      <c r="E137" s="400"/>
      <c r="F137" s="400"/>
      <c r="G137" s="400"/>
      <c r="H137" s="400"/>
      <c r="I137" s="400"/>
      <c r="J137" s="825"/>
      <c r="K137" s="830"/>
      <c r="L137" s="830"/>
      <c r="M137" s="830"/>
      <c r="N137" s="830"/>
      <c r="O137" s="830"/>
      <c r="P137" s="996"/>
      <c r="Q137" s="830"/>
      <c r="R137" s="830"/>
      <c r="S137" s="830"/>
      <c r="T137" s="798"/>
      <c r="U137" s="798"/>
      <c r="V137" s="798"/>
      <c r="W137" s="798"/>
      <c r="X137" s="798"/>
      <c r="Y137" s="798"/>
      <c r="Z137" s="798"/>
      <c r="AA137" s="798"/>
      <c r="AB137" s="798"/>
      <c r="AC137" s="798"/>
      <c r="AD137" s="798"/>
    </row>
    <row r="138" ht="15.75" hidden="1" customHeight="1">
      <c r="A138" s="798"/>
      <c r="B138" s="823"/>
      <c r="C138" s="823"/>
      <c r="D138" s="986"/>
      <c r="E138" s="997"/>
      <c r="F138" s="1011"/>
      <c r="G138" s="999"/>
      <c r="H138" s="990"/>
      <c r="I138" s="991"/>
      <c r="J138" s="825"/>
      <c r="K138" s="849"/>
      <c r="L138" s="849"/>
      <c r="M138" s="849"/>
      <c r="N138" s="849"/>
      <c r="O138" s="849"/>
      <c r="P138" s="850"/>
      <c r="Q138" s="850"/>
      <c r="R138" s="851"/>
      <c r="S138" s="851"/>
      <c r="T138" s="852"/>
      <c r="U138" s="852"/>
      <c r="V138" s="798"/>
      <c r="W138" s="798"/>
      <c r="X138" s="798"/>
      <c r="Y138" s="798"/>
      <c r="Z138" s="798"/>
      <c r="AA138" s="798"/>
      <c r="AB138" s="798"/>
      <c r="AC138" s="798"/>
      <c r="AD138" s="798"/>
    </row>
    <row r="139" ht="15.75" hidden="1" customHeight="1">
      <c r="A139" s="798"/>
      <c r="B139" s="400"/>
      <c r="C139" s="400"/>
      <c r="D139" s="986"/>
      <c r="E139" s="400"/>
      <c r="F139" s="400"/>
      <c r="G139" s="400"/>
      <c r="H139" s="400"/>
      <c r="I139" s="400"/>
      <c r="J139" s="829"/>
      <c r="K139" s="853"/>
      <c r="L139" s="853"/>
      <c r="M139" s="853"/>
      <c r="N139" s="853"/>
      <c r="O139" s="853"/>
      <c r="P139" s="853"/>
      <c r="Q139" s="853"/>
      <c r="R139" s="853"/>
      <c r="S139" s="853"/>
      <c r="T139" s="853"/>
      <c r="U139" s="853"/>
      <c r="V139" s="798"/>
      <c r="W139" s="798"/>
      <c r="X139" s="798"/>
      <c r="Y139" s="798"/>
      <c r="Z139" s="798"/>
      <c r="AA139" s="798"/>
      <c r="AB139" s="798"/>
      <c r="AC139" s="798"/>
      <c r="AD139" s="798"/>
    </row>
    <row r="140" ht="15.75" hidden="1" customHeight="1">
      <c r="A140" s="798"/>
      <c r="B140" s="798"/>
      <c r="C140" s="798"/>
      <c r="D140" s="798"/>
      <c r="E140" s="798"/>
      <c r="F140" s="798"/>
      <c r="G140" s="798"/>
      <c r="H140" s="798"/>
      <c r="I140" s="798"/>
      <c r="J140" s="798"/>
      <c r="K140" s="798"/>
      <c r="L140" s="798"/>
      <c r="M140" s="798"/>
      <c r="N140" s="798"/>
      <c r="O140" s="798"/>
      <c r="P140" s="798"/>
      <c r="Q140" s="798"/>
      <c r="R140" s="798"/>
      <c r="S140" s="798"/>
      <c r="T140" s="798"/>
      <c r="U140" s="798"/>
      <c r="V140" s="798"/>
      <c r="W140" s="798"/>
      <c r="X140" s="798"/>
      <c r="Y140" s="798"/>
      <c r="Z140" s="798"/>
      <c r="AA140" s="798"/>
      <c r="AB140" s="798"/>
      <c r="AC140" s="798"/>
      <c r="AD140" s="798"/>
    </row>
    <row r="141" ht="15.75" customHeight="1">
      <c r="A141" s="798"/>
      <c r="B141" s="798"/>
      <c r="C141" s="798"/>
      <c r="D141" s="798"/>
      <c r="E141" s="798"/>
      <c r="F141" s="798"/>
      <c r="G141" s="798"/>
      <c r="H141" s="798"/>
      <c r="I141" s="798"/>
      <c r="J141" s="798"/>
      <c r="K141" s="798"/>
      <c r="L141" s="798"/>
      <c r="M141" s="798"/>
      <c r="N141" s="798"/>
      <c r="O141" s="798"/>
      <c r="P141" s="798"/>
      <c r="Q141" s="798"/>
      <c r="R141" s="798"/>
      <c r="S141" s="798"/>
      <c r="T141" s="798"/>
      <c r="U141" s="798"/>
      <c r="V141" s="798"/>
      <c r="W141" s="798"/>
      <c r="X141" s="798"/>
      <c r="Y141" s="798"/>
      <c r="Z141" s="798"/>
      <c r="AA141" s="798"/>
      <c r="AB141" s="798"/>
      <c r="AC141" s="798"/>
      <c r="AD141" s="798"/>
    </row>
    <row r="142" ht="15.75" customHeight="1">
      <c r="A142" s="798"/>
      <c r="B142" s="798"/>
      <c r="C142" s="798"/>
      <c r="D142" s="798"/>
      <c r="E142" s="798"/>
      <c r="F142" s="798"/>
      <c r="G142" s="798"/>
      <c r="H142" s="798"/>
      <c r="I142" s="798"/>
      <c r="J142" s="798"/>
      <c r="K142" s="798"/>
      <c r="L142" s="798"/>
      <c r="M142" s="798"/>
      <c r="N142" s="798"/>
      <c r="O142" s="798"/>
      <c r="P142" s="798"/>
      <c r="Q142" s="798"/>
      <c r="R142" s="798"/>
      <c r="S142" s="798"/>
      <c r="T142" s="798"/>
      <c r="U142" s="798"/>
      <c r="V142" s="798"/>
      <c r="W142" s="798"/>
      <c r="X142" s="798"/>
      <c r="Y142" s="798"/>
      <c r="Z142" s="798"/>
      <c r="AA142" s="798"/>
      <c r="AB142" s="798"/>
      <c r="AC142" s="798"/>
      <c r="AD142" s="798"/>
    </row>
    <row r="143" ht="15.75" customHeight="1">
      <c r="A143" s="798"/>
      <c r="B143" s="798"/>
      <c r="C143" s="798"/>
      <c r="D143" s="798"/>
      <c r="E143" s="798"/>
      <c r="F143" s="798"/>
      <c r="G143" s="798"/>
      <c r="H143" s="798"/>
      <c r="I143" s="798"/>
      <c r="J143" s="798"/>
      <c r="K143" s="798"/>
      <c r="L143" s="798"/>
      <c r="M143" s="798"/>
      <c r="N143" s="798"/>
      <c r="O143" s="798"/>
      <c r="P143" s="798"/>
      <c r="Q143" s="798"/>
      <c r="R143" s="798"/>
      <c r="S143" s="798"/>
      <c r="T143" s="798"/>
      <c r="U143" s="798"/>
      <c r="V143" s="798"/>
      <c r="W143" s="798"/>
      <c r="X143" s="798"/>
      <c r="Y143" s="798"/>
      <c r="Z143" s="798"/>
      <c r="AA143" s="798"/>
      <c r="AB143" s="798"/>
      <c r="AC143" s="798"/>
      <c r="AD143" s="798"/>
    </row>
    <row r="144" ht="15.75" customHeight="1">
      <c r="A144" s="798"/>
      <c r="B144" s="798"/>
      <c r="C144" s="798"/>
      <c r="D144" s="798"/>
      <c r="E144" s="798"/>
      <c r="F144" s="798"/>
      <c r="G144" s="798"/>
      <c r="H144" s="798"/>
      <c r="I144" s="798"/>
      <c r="J144" s="798"/>
      <c r="K144" s="798"/>
      <c r="L144" s="798"/>
      <c r="M144" s="798"/>
      <c r="N144" s="798"/>
      <c r="O144" s="798"/>
      <c r="P144" s="798"/>
      <c r="Q144" s="798"/>
      <c r="R144" s="798"/>
      <c r="S144" s="798"/>
      <c r="T144" s="798"/>
      <c r="U144" s="798"/>
      <c r="V144" s="798"/>
      <c r="W144" s="798"/>
      <c r="X144" s="798"/>
      <c r="Y144" s="798"/>
      <c r="Z144" s="798"/>
      <c r="AA144" s="798"/>
      <c r="AB144" s="798"/>
      <c r="AC144" s="798"/>
      <c r="AD144" s="798"/>
    </row>
    <row r="145" ht="15.75" customHeight="1">
      <c r="A145" s="798"/>
      <c r="B145" s="798"/>
      <c r="C145" s="798"/>
      <c r="D145" s="798"/>
      <c r="E145" s="798"/>
      <c r="F145" s="798"/>
      <c r="G145" s="798"/>
      <c r="H145" s="798"/>
      <c r="I145" s="798"/>
      <c r="J145" s="798"/>
      <c r="K145" s="798"/>
      <c r="L145" s="798"/>
      <c r="M145" s="798"/>
      <c r="N145" s="798"/>
      <c r="O145" s="798"/>
      <c r="P145" s="798"/>
      <c r="Q145" s="798"/>
      <c r="R145" s="798"/>
      <c r="S145" s="798"/>
      <c r="T145" s="798"/>
      <c r="U145" s="798"/>
      <c r="V145" s="798"/>
      <c r="W145" s="798"/>
      <c r="X145" s="798"/>
      <c r="Y145" s="798"/>
      <c r="Z145" s="798"/>
      <c r="AA145" s="798"/>
      <c r="AB145" s="798"/>
      <c r="AC145" s="798"/>
      <c r="AD145" s="798"/>
    </row>
    <row r="146" ht="15.75" customHeight="1">
      <c r="A146" s="798"/>
      <c r="B146" s="798"/>
      <c r="C146" s="798"/>
      <c r="D146" s="798"/>
      <c r="E146" s="798"/>
      <c r="F146" s="798"/>
      <c r="G146" s="798"/>
      <c r="H146" s="798"/>
      <c r="I146" s="798"/>
      <c r="J146" s="798"/>
      <c r="K146" s="798"/>
      <c r="L146" s="798"/>
      <c r="M146" s="798"/>
      <c r="N146" s="798"/>
      <c r="O146" s="798"/>
      <c r="P146" s="798"/>
      <c r="Q146" s="798"/>
      <c r="R146" s="798"/>
      <c r="S146" s="798"/>
      <c r="T146" s="798"/>
      <c r="U146" s="798"/>
      <c r="V146" s="798"/>
      <c r="W146" s="798"/>
      <c r="X146" s="798"/>
      <c r="Y146" s="798"/>
      <c r="Z146" s="798"/>
      <c r="AA146" s="798"/>
      <c r="AB146" s="798"/>
      <c r="AC146" s="798"/>
      <c r="AD146" s="798"/>
    </row>
    <row r="147" ht="15.75" customHeight="1">
      <c r="A147" s="798"/>
      <c r="B147" s="798"/>
      <c r="C147" s="798"/>
      <c r="D147" s="798"/>
      <c r="E147" s="798"/>
      <c r="F147" s="798"/>
      <c r="G147" s="798"/>
      <c r="H147" s="798"/>
      <c r="I147" s="798"/>
      <c r="J147" s="798"/>
      <c r="K147" s="798"/>
      <c r="L147" s="798"/>
      <c r="M147" s="798"/>
      <c r="N147" s="798"/>
      <c r="O147" s="798"/>
      <c r="P147" s="798"/>
      <c r="Q147" s="798"/>
      <c r="R147" s="798"/>
      <c r="S147" s="798"/>
      <c r="T147" s="798"/>
      <c r="U147" s="798"/>
      <c r="V147" s="798"/>
      <c r="W147" s="798"/>
      <c r="X147" s="798"/>
      <c r="Y147" s="798"/>
      <c r="Z147" s="798"/>
      <c r="AA147" s="798"/>
      <c r="AB147" s="798"/>
      <c r="AC147" s="798"/>
      <c r="AD147" s="798"/>
    </row>
    <row r="148" ht="15.75" customHeight="1">
      <c r="A148" s="798"/>
      <c r="B148" s="798"/>
      <c r="C148" s="798"/>
      <c r="D148" s="798"/>
      <c r="E148" s="798"/>
      <c r="F148" s="798"/>
      <c r="G148" s="798"/>
      <c r="H148" s="798"/>
      <c r="I148" s="798"/>
      <c r="J148" s="798"/>
      <c r="K148" s="798"/>
      <c r="L148" s="798"/>
      <c r="M148" s="798"/>
      <c r="N148" s="798"/>
      <c r="O148" s="798"/>
      <c r="P148" s="798"/>
      <c r="Q148" s="798"/>
      <c r="R148" s="798"/>
      <c r="S148" s="798"/>
      <c r="T148" s="798"/>
      <c r="U148" s="798"/>
      <c r="V148" s="798"/>
      <c r="W148" s="798"/>
      <c r="X148" s="798"/>
      <c r="Y148" s="798"/>
      <c r="Z148" s="798"/>
      <c r="AA148" s="798"/>
      <c r="AB148" s="798"/>
      <c r="AC148" s="798"/>
      <c r="AD148" s="798"/>
    </row>
    <row r="149" ht="15.75" customHeight="1">
      <c r="A149" s="798"/>
      <c r="B149" s="798"/>
      <c r="C149" s="798"/>
      <c r="D149" s="798"/>
      <c r="E149" s="798"/>
      <c r="F149" s="798"/>
      <c r="G149" s="798"/>
      <c r="H149" s="798"/>
      <c r="I149" s="798"/>
      <c r="J149" s="798"/>
      <c r="K149" s="798"/>
      <c r="L149" s="798"/>
      <c r="M149" s="798"/>
      <c r="N149" s="798"/>
      <c r="O149" s="798"/>
      <c r="P149" s="798"/>
      <c r="Q149" s="798"/>
      <c r="R149" s="798"/>
      <c r="S149" s="798"/>
      <c r="T149" s="798"/>
      <c r="U149" s="798"/>
      <c r="V149" s="798"/>
      <c r="W149" s="798"/>
      <c r="X149" s="798"/>
      <c r="Y149" s="798"/>
      <c r="Z149" s="798"/>
      <c r="AA149" s="798"/>
      <c r="AB149" s="798"/>
      <c r="AC149" s="798"/>
      <c r="AD149" s="798"/>
    </row>
    <row r="150" ht="15.75" customHeight="1">
      <c r="A150" s="798"/>
      <c r="B150" s="798"/>
      <c r="C150" s="798"/>
      <c r="D150" s="798"/>
      <c r="E150" s="798"/>
      <c r="F150" s="798"/>
      <c r="G150" s="798"/>
      <c r="H150" s="798"/>
      <c r="I150" s="798"/>
      <c r="J150" s="798"/>
      <c r="K150" s="798"/>
      <c r="L150" s="798"/>
      <c r="M150" s="798"/>
      <c r="N150" s="798"/>
      <c r="O150" s="798"/>
      <c r="P150" s="798"/>
      <c r="Q150" s="798"/>
      <c r="R150" s="798"/>
      <c r="S150" s="798"/>
      <c r="T150" s="798"/>
      <c r="U150" s="798"/>
      <c r="V150" s="798"/>
      <c r="W150" s="798"/>
      <c r="X150" s="798"/>
      <c r="Y150" s="798"/>
      <c r="Z150" s="798"/>
      <c r="AA150" s="798"/>
      <c r="AB150" s="798"/>
      <c r="AC150" s="798"/>
      <c r="AD150" s="798"/>
    </row>
    <row r="151" ht="15.75" customHeight="1">
      <c r="A151" s="798"/>
      <c r="B151" s="798"/>
      <c r="C151" s="798"/>
      <c r="D151" s="798"/>
      <c r="E151" s="798"/>
      <c r="F151" s="798"/>
      <c r="G151" s="798"/>
      <c r="H151" s="798"/>
      <c r="I151" s="798"/>
      <c r="J151" s="798"/>
      <c r="K151" s="798"/>
      <c r="L151" s="798"/>
      <c r="M151" s="798"/>
      <c r="N151" s="798"/>
      <c r="O151" s="798"/>
      <c r="P151" s="798"/>
      <c r="Q151" s="798"/>
      <c r="R151" s="798"/>
      <c r="S151" s="798"/>
      <c r="T151" s="798"/>
      <c r="U151" s="798"/>
      <c r="V151" s="798"/>
      <c r="W151" s="798"/>
      <c r="X151" s="798"/>
      <c r="Y151" s="798"/>
      <c r="Z151" s="798"/>
      <c r="AA151" s="798"/>
      <c r="AB151" s="798"/>
      <c r="AC151" s="798"/>
      <c r="AD151" s="798"/>
    </row>
    <row r="152" ht="15.75" customHeight="1">
      <c r="A152" s="798"/>
      <c r="B152" s="798"/>
      <c r="C152" s="798"/>
      <c r="D152" s="798"/>
      <c r="E152" s="798"/>
      <c r="F152" s="798"/>
      <c r="G152" s="798"/>
      <c r="H152" s="798"/>
      <c r="I152" s="798"/>
      <c r="J152" s="798"/>
      <c r="K152" s="798"/>
      <c r="L152" s="798"/>
      <c r="M152" s="798"/>
      <c r="N152" s="798"/>
      <c r="O152" s="798"/>
      <c r="P152" s="798"/>
      <c r="Q152" s="798"/>
      <c r="R152" s="798"/>
      <c r="S152" s="798"/>
      <c r="T152" s="798"/>
      <c r="U152" s="798"/>
      <c r="V152" s="798"/>
      <c r="W152" s="798"/>
      <c r="X152" s="798"/>
      <c r="Y152" s="798"/>
      <c r="Z152" s="798"/>
      <c r="AA152" s="798"/>
      <c r="AB152" s="798"/>
      <c r="AC152" s="798"/>
      <c r="AD152" s="798"/>
    </row>
    <row r="153" ht="15.75" customHeight="1">
      <c r="A153" s="798"/>
      <c r="B153" s="798"/>
      <c r="C153" s="798"/>
      <c r="D153" s="798"/>
      <c r="E153" s="798"/>
      <c r="F153" s="798"/>
      <c r="G153" s="798"/>
      <c r="H153" s="798"/>
      <c r="I153" s="798"/>
      <c r="J153" s="798"/>
      <c r="K153" s="798"/>
      <c r="L153" s="798"/>
      <c r="M153" s="798"/>
      <c r="N153" s="798"/>
      <c r="O153" s="798"/>
      <c r="P153" s="798"/>
      <c r="Q153" s="798"/>
      <c r="R153" s="798"/>
      <c r="S153" s="798"/>
      <c r="T153" s="798"/>
      <c r="U153" s="798"/>
      <c r="V153" s="798"/>
      <c r="W153" s="798"/>
      <c r="X153" s="798"/>
      <c r="Y153" s="798"/>
      <c r="Z153" s="798"/>
      <c r="AA153" s="798"/>
      <c r="AB153" s="798"/>
      <c r="AC153" s="798"/>
      <c r="AD153" s="798"/>
    </row>
    <row r="154" ht="15.75" customHeight="1">
      <c r="A154" s="798"/>
      <c r="B154" s="798"/>
      <c r="C154" s="798"/>
      <c r="D154" s="798"/>
      <c r="E154" s="798"/>
      <c r="F154" s="798"/>
      <c r="G154" s="798"/>
      <c r="H154" s="798"/>
      <c r="I154" s="798"/>
      <c r="J154" s="798"/>
      <c r="K154" s="798"/>
      <c r="L154" s="798"/>
      <c r="M154" s="798"/>
      <c r="N154" s="798"/>
      <c r="O154" s="798"/>
      <c r="P154" s="798"/>
      <c r="Q154" s="798"/>
      <c r="R154" s="798"/>
      <c r="S154" s="798"/>
      <c r="T154" s="798"/>
      <c r="U154" s="798"/>
      <c r="V154" s="798"/>
      <c r="W154" s="798"/>
      <c r="X154" s="798"/>
      <c r="Y154" s="798"/>
      <c r="Z154" s="798"/>
      <c r="AA154" s="798"/>
      <c r="AB154" s="798"/>
      <c r="AC154" s="798"/>
      <c r="AD154" s="798"/>
    </row>
    <row r="155" ht="15.75" customHeight="1">
      <c r="A155" s="798"/>
      <c r="B155" s="798"/>
      <c r="C155" s="798"/>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8"/>
      <c r="AD155" s="798"/>
    </row>
    <row r="156" ht="15.75" customHeight="1">
      <c r="A156" s="798"/>
      <c r="B156" s="798"/>
      <c r="C156" s="798"/>
      <c r="D156" s="798"/>
      <c r="E156" s="798"/>
      <c r="F156" s="798"/>
      <c r="G156" s="798"/>
      <c r="H156" s="798"/>
      <c r="I156" s="798"/>
      <c r="J156" s="798"/>
      <c r="K156" s="798"/>
      <c r="L156" s="798"/>
      <c r="M156" s="798"/>
      <c r="N156" s="798"/>
      <c r="O156" s="798"/>
      <c r="P156" s="798"/>
      <c r="Q156" s="798"/>
      <c r="R156" s="798"/>
      <c r="S156" s="798"/>
      <c r="T156" s="798"/>
      <c r="U156" s="798"/>
      <c r="V156" s="798"/>
      <c r="W156" s="798"/>
      <c r="X156" s="798"/>
      <c r="Y156" s="798"/>
      <c r="Z156" s="798"/>
      <c r="AA156" s="798"/>
      <c r="AB156" s="798"/>
      <c r="AC156" s="798"/>
      <c r="AD156" s="798"/>
    </row>
    <row r="157" ht="15.75" customHeight="1">
      <c r="A157" s="798"/>
      <c r="B157" s="798"/>
      <c r="C157" s="798"/>
      <c r="D157" s="798"/>
      <c r="E157" s="798"/>
      <c r="F157" s="798"/>
      <c r="G157" s="798"/>
      <c r="H157" s="798"/>
      <c r="I157" s="798"/>
      <c r="J157" s="798"/>
      <c r="K157" s="798"/>
      <c r="L157" s="798"/>
      <c r="M157" s="798"/>
      <c r="N157" s="798"/>
      <c r="O157" s="798"/>
      <c r="P157" s="798"/>
      <c r="Q157" s="798"/>
      <c r="R157" s="798"/>
      <c r="S157" s="798"/>
      <c r="T157" s="798"/>
      <c r="U157" s="798"/>
      <c r="V157" s="798"/>
      <c r="W157" s="798"/>
      <c r="X157" s="798"/>
      <c r="Y157" s="798"/>
      <c r="Z157" s="798"/>
      <c r="AA157" s="798"/>
      <c r="AB157" s="798"/>
      <c r="AC157" s="798"/>
      <c r="AD157" s="798"/>
    </row>
    <row r="158" ht="15.75" customHeight="1">
      <c r="A158" s="798"/>
      <c r="B158" s="798"/>
      <c r="C158" s="798"/>
      <c r="D158" s="798"/>
      <c r="E158" s="798"/>
      <c r="F158" s="798"/>
      <c r="G158" s="798"/>
      <c r="H158" s="798"/>
      <c r="I158" s="798"/>
      <c r="J158" s="798"/>
      <c r="K158" s="798"/>
      <c r="L158" s="798"/>
      <c r="M158" s="798"/>
      <c r="N158" s="798"/>
      <c r="O158" s="798"/>
      <c r="P158" s="798"/>
      <c r="Q158" s="798"/>
      <c r="R158" s="798"/>
      <c r="S158" s="798"/>
      <c r="T158" s="798"/>
      <c r="U158" s="798"/>
      <c r="V158" s="798"/>
      <c r="W158" s="798"/>
      <c r="X158" s="798"/>
      <c r="Y158" s="798"/>
      <c r="Z158" s="798"/>
      <c r="AA158" s="798"/>
      <c r="AB158" s="798"/>
      <c r="AC158" s="798"/>
      <c r="AD158" s="798"/>
    </row>
    <row r="159" ht="15.75" customHeight="1">
      <c r="A159" s="798"/>
      <c r="B159" s="798"/>
      <c r="C159" s="798"/>
      <c r="D159" s="798"/>
      <c r="E159" s="798"/>
      <c r="F159" s="798"/>
      <c r="G159" s="798"/>
      <c r="H159" s="798"/>
      <c r="I159" s="798"/>
      <c r="J159" s="798"/>
      <c r="K159" s="798"/>
      <c r="L159" s="798"/>
      <c r="M159" s="798"/>
      <c r="N159" s="798"/>
      <c r="O159" s="798"/>
      <c r="P159" s="798"/>
      <c r="Q159" s="798"/>
      <c r="R159" s="798"/>
      <c r="S159" s="798"/>
      <c r="T159" s="798"/>
      <c r="U159" s="798"/>
      <c r="V159" s="798"/>
      <c r="W159" s="798"/>
      <c r="X159" s="798"/>
      <c r="Y159" s="798"/>
      <c r="Z159" s="798"/>
      <c r="AA159" s="798"/>
      <c r="AB159" s="798"/>
      <c r="AC159" s="798"/>
      <c r="AD159" s="798"/>
    </row>
    <row r="160" ht="15.75" customHeight="1">
      <c r="A160" s="798"/>
      <c r="B160" s="798"/>
      <c r="C160" s="798"/>
      <c r="D160" s="798"/>
      <c r="E160" s="798"/>
      <c r="F160" s="798"/>
      <c r="G160" s="798"/>
      <c r="H160" s="798"/>
      <c r="I160" s="798"/>
      <c r="J160" s="798"/>
      <c r="K160" s="798"/>
      <c r="L160" s="798"/>
      <c r="M160" s="798"/>
      <c r="N160" s="798"/>
      <c r="O160" s="798"/>
      <c r="P160" s="798"/>
      <c r="Q160" s="798"/>
      <c r="R160" s="798"/>
      <c r="S160" s="798"/>
      <c r="T160" s="798"/>
      <c r="U160" s="798"/>
      <c r="V160" s="798"/>
      <c r="W160" s="798"/>
      <c r="X160" s="798"/>
      <c r="Y160" s="798"/>
      <c r="Z160" s="798"/>
      <c r="AA160" s="798"/>
      <c r="AB160" s="798"/>
      <c r="AC160" s="798"/>
      <c r="AD160" s="798"/>
    </row>
    <row r="161" ht="15.75" customHeight="1">
      <c r="A161" s="798"/>
      <c r="B161" s="798"/>
      <c r="C161" s="798"/>
      <c r="D161" s="798"/>
      <c r="E161" s="798"/>
      <c r="F161" s="798"/>
      <c r="G161" s="798"/>
      <c r="H161" s="798"/>
      <c r="I161" s="798"/>
      <c r="J161" s="798"/>
      <c r="K161" s="798"/>
      <c r="L161" s="798"/>
      <c r="M161" s="798"/>
      <c r="N161" s="798"/>
      <c r="O161" s="798"/>
      <c r="P161" s="798"/>
      <c r="Q161" s="798"/>
      <c r="R161" s="798"/>
      <c r="S161" s="798"/>
      <c r="T161" s="798"/>
      <c r="U161" s="798"/>
      <c r="V161" s="798"/>
      <c r="W161" s="798"/>
      <c r="X161" s="798"/>
      <c r="Y161" s="798"/>
      <c r="Z161" s="798"/>
      <c r="AA161" s="798"/>
      <c r="AB161" s="798"/>
      <c r="AC161" s="798"/>
      <c r="AD161" s="798"/>
    </row>
    <row r="162" ht="15.75" customHeight="1">
      <c r="A162" s="798"/>
      <c r="B162" s="798"/>
      <c r="C162" s="798"/>
      <c r="D162" s="798"/>
      <c r="E162" s="798"/>
      <c r="F162" s="798"/>
      <c r="G162" s="798"/>
      <c r="H162" s="798"/>
      <c r="I162" s="798"/>
      <c r="J162" s="798"/>
      <c r="K162" s="798"/>
      <c r="L162" s="798"/>
      <c r="M162" s="798"/>
      <c r="N162" s="798"/>
      <c r="O162" s="798"/>
      <c r="P162" s="798"/>
      <c r="Q162" s="798"/>
      <c r="R162" s="798"/>
      <c r="S162" s="798"/>
      <c r="T162" s="798"/>
      <c r="U162" s="798"/>
      <c r="V162" s="798"/>
      <c r="W162" s="798"/>
      <c r="X162" s="798"/>
      <c r="Y162" s="798"/>
      <c r="Z162" s="798"/>
      <c r="AA162" s="798"/>
      <c r="AB162" s="798"/>
      <c r="AC162" s="798"/>
      <c r="AD162" s="798"/>
    </row>
    <row r="163" ht="15.75" customHeight="1">
      <c r="A163" s="798"/>
      <c r="B163" s="798"/>
      <c r="C163" s="798"/>
      <c r="D163" s="798"/>
      <c r="E163" s="798"/>
      <c r="F163" s="798"/>
      <c r="G163" s="798"/>
      <c r="H163" s="798"/>
      <c r="I163" s="798"/>
      <c r="J163" s="798"/>
      <c r="K163" s="798"/>
      <c r="L163" s="798"/>
      <c r="M163" s="798"/>
      <c r="N163" s="798"/>
      <c r="O163" s="798"/>
      <c r="P163" s="798"/>
      <c r="Q163" s="798"/>
      <c r="R163" s="798"/>
      <c r="S163" s="798"/>
      <c r="T163" s="798"/>
      <c r="U163" s="798"/>
      <c r="V163" s="798"/>
      <c r="W163" s="798"/>
      <c r="X163" s="798"/>
      <c r="Y163" s="798"/>
      <c r="Z163" s="798"/>
      <c r="AA163" s="798"/>
      <c r="AB163" s="798"/>
      <c r="AC163" s="798"/>
      <c r="AD163" s="798"/>
    </row>
    <row r="164" ht="15.75" customHeight="1">
      <c r="A164" s="798"/>
      <c r="B164" s="798"/>
      <c r="C164" s="798"/>
      <c r="D164" s="798"/>
      <c r="E164" s="798"/>
      <c r="F164" s="798"/>
      <c r="G164" s="798"/>
      <c r="H164" s="798"/>
      <c r="I164" s="798"/>
      <c r="J164" s="798"/>
      <c r="K164" s="798"/>
      <c r="L164" s="798"/>
      <c r="M164" s="798"/>
      <c r="N164" s="798"/>
      <c r="O164" s="798"/>
      <c r="P164" s="798"/>
      <c r="Q164" s="798"/>
      <c r="R164" s="798"/>
      <c r="S164" s="798"/>
      <c r="T164" s="798"/>
      <c r="U164" s="798"/>
      <c r="V164" s="798"/>
      <c r="W164" s="798"/>
      <c r="X164" s="798"/>
      <c r="Y164" s="798"/>
      <c r="Z164" s="798"/>
      <c r="AA164" s="798"/>
      <c r="AB164" s="798"/>
      <c r="AC164" s="798"/>
      <c r="AD164" s="798"/>
    </row>
    <row r="165" ht="15.75" customHeight="1">
      <c r="A165" s="798"/>
      <c r="B165" s="798"/>
      <c r="C165" s="798"/>
      <c r="D165" s="798"/>
      <c r="E165" s="798"/>
      <c r="F165" s="798"/>
      <c r="G165" s="798"/>
      <c r="H165" s="798"/>
      <c r="I165" s="798"/>
      <c r="J165" s="798"/>
      <c r="K165" s="798"/>
      <c r="L165" s="798"/>
      <c r="M165" s="798"/>
      <c r="N165" s="798"/>
      <c r="O165" s="798"/>
      <c r="P165" s="798"/>
      <c r="Q165" s="798"/>
      <c r="R165" s="798"/>
      <c r="S165" s="798"/>
      <c r="T165" s="798"/>
      <c r="U165" s="798"/>
      <c r="V165" s="798"/>
      <c r="W165" s="798"/>
      <c r="X165" s="798"/>
      <c r="Y165" s="798"/>
      <c r="Z165" s="798"/>
      <c r="AA165" s="798"/>
      <c r="AB165" s="798"/>
      <c r="AC165" s="798"/>
      <c r="AD165" s="798"/>
    </row>
    <row r="166" ht="15.75" customHeight="1">
      <c r="A166" s="798"/>
      <c r="B166" s="798"/>
      <c r="C166" s="798"/>
      <c r="D166" s="798"/>
      <c r="E166" s="798"/>
      <c r="F166" s="798"/>
      <c r="G166" s="798"/>
      <c r="H166" s="798"/>
      <c r="I166" s="798"/>
      <c r="J166" s="798"/>
      <c r="K166" s="798"/>
      <c r="L166" s="798"/>
      <c r="M166" s="798"/>
      <c r="N166" s="798"/>
      <c r="O166" s="798"/>
      <c r="P166" s="798"/>
      <c r="Q166" s="798"/>
      <c r="R166" s="798"/>
      <c r="S166" s="798"/>
      <c r="T166" s="798"/>
      <c r="U166" s="798"/>
      <c r="V166" s="798"/>
      <c r="W166" s="798"/>
      <c r="X166" s="798"/>
      <c r="Y166" s="798"/>
      <c r="Z166" s="798"/>
      <c r="AA166" s="798"/>
      <c r="AB166" s="798"/>
      <c r="AC166" s="798"/>
      <c r="AD166" s="798"/>
    </row>
    <row r="167" ht="15.75" customHeight="1">
      <c r="A167" s="798"/>
      <c r="B167" s="798"/>
      <c r="C167" s="798"/>
      <c r="D167" s="798"/>
      <c r="E167" s="798"/>
      <c r="F167" s="798"/>
      <c r="G167" s="798"/>
      <c r="H167" s="798"/>
      <c r="I167" s="798"/>
      <c r="J167" s="798"/>
      <c r="K167" s="798"/>
      <c r="L167" s="798"/>
      <c r="M167" s="798"/>
      <c r="N167" s="798"/>
      <c r="O167" s="798"/>
      <c r="P167" s="798"/>
      <c r="Q167" s="798"/>
      <c r="R167" s="798"/>
      <c r="S167" s="798"/>
      <c r="T167" s="798"/>
      <c r="U167" s="798"/>
      <c r="V167" s="798"/>
      <c r="W167" s="798"/>
      <c r="X167" s="798"/>
      <c r="Y167" s="798"/>
      <c r="Z167" s="798"/>
      <c r="AA167" s="798"/>
      <c r="AB167" s="798"/>
      <c r="AC167" s="798"/>
      <c r="AD167" s="798"/>
    </row>
    <row r="168" ht="15.75" customHeight="1">
      <c r="A168" s="798"/>
      <c r="B168" s="798"/>
      <c r="C168" s="798"/>
      <c r="D168" s="798"/>
      <c r="E168" s="798"/>
      <c r="F168" s="798"/>
      <c r="G168" s="798"/>
      <c r="H168" s="798"/>
      <c r="I168" s="798"/>
      <c r="J168" s="798"/>
      <c r="K168" s="798"/>
      <c r="L168" s="798"/>
      <c r="M168" s="798"/>
      <c r="N168" s="798"/>
      <c r="O168" s="798"/>
      <c r="P168" s="798"/>
      <c r="Q168" s="798"/>
      <c r="R168" s="798"/>
      <c r="S168" s="798"/>
      <c r="T168" s="798"/>
      <c r="U168" s="798"/>
      <c r="V168" s="798"/>
      <c r="W168" s="798"/>
      <c r="X168" s="798"/>
      <c r="Y168" s="798"/>
      <c r="Z168" s="798"/>
      <c r="AA168" s="798"/>
      <c r="AB168" s="798"/>
      <c r="AC168" s="798"/>
      <c r="AD168" s="798"/>
    </row>
    <row r="169" ht="15.75" customHeight="1">
      <c r="A169" s="798"/>
      <c r="B169" s="798"/>
      <c r="C169" s="798"/>
      <c r="D169" s="798"/>
      <c r="E169" s="798"/>
      <c r="F169" s="798"/>
      <c r="G169" s="798"/>
      <c r="H169" s="798"/>
      <c r="I169" s="798"/>
      <c r="J169" s="798"/>
      <c r="K169" s="798"/>
      <c r="L169" s="798"/>
      <c r="M169" s="798"/>
      <c r="N169" s="798"/>
      <c r="O169" s="798"/>
      <c r="P169" s="798"/>
      <c r="Q169" s="798"/>
      <c r="R169" s="798"/>
      <c r="S169" s="798"/>
      <c r="T169" s="798"/>
      <c r="U169" s="798"/>
      <c r="V169" s="798"/>
      <c r="W169" s="798"/>
      <c r="X169" s="798"/>
      <c r="Y169" s="798"/>
      <c r="Z169" s="798"/>
      <c r="AA169" s="798"/>
      <c r="AB169" s="798"/>
      <c r="AC169" s="798"/>
      <c r="AD169" s="798"/>
    </row>
    <row r="170" ht="15.75" customHeight="1">
      <c r="A170" s="798"/>
      <c r="B170" s="798"/>
      <c r="C170" s="798"/>
      <c r="D170" s="798"/>
      <c r="E170" s="798"/>
      <c r="F170" s="798"/>
      <c r="G170" s="798"/>
      <c r="H170" s="798"/>
      <c r="I170" s="798"/>
      <c r="J170" s="798"/>
      <c r="K170" s="798"/>
      <c r="L170" s="798"/>
      <c r="M170" s="798"/>
      <c r="N170" s="798"/>
      <c r="O170" s="798"/>
      <c r="P170" s="798"/>
      <c r="Q170" s="798"/>
      <c r="R170" s="798"/>
      <c r="S170" s="798"/>
      <c r="T170" s="798"/>
      <c r="U170" s="798"/>
      <c r="V170" s="798"/>
      <c r="W170" s="798"/>
      <c r="X170" s="798"/>
      <c r="Y170" s="798"/>
      <c r="Z170" s="798"/>
      <c r="AA170" s="798"/>
      <c r="AB170" s="798"/>
      <c r="AC170" s="798"/>
      <c r="AD170" s="798"/>
    </row>
    <row r="171" ht="15.75" customHeight="1">
      <c r="A171" s="798"/>
      <c r="B171" s="798"/>
      <c r="C171" s="798"/>
      <c r="D171" s="798"/>
      <c r="E171" s="798"/>
      <c r="F171" s="798"/>
      <c r="G171" s="798"/>
      <c r="H171" s="798"/>
      <c r="I171" s="798"/>
      <c r="J171" s="798"/>
      <c r="K171" s="798"/>
      <c r="L171" s="798"/>
      <c r="M171" s="798"/>
      <c r="N171" s="798"/>
      <c r="O171" s="798"/>
      <c r="P171" s="798"/>
      <c r="Q171" s="798"/>
      <c r="R171" s="798"/>
      <c r="S171" s="798"/>
      <c r="T171" s="798"/>
      <c r="U171" s="798"/>
      <c r="V171" s="798"/>
      <c r="W171" s="798"/>
      <c r="X171" s="798"/>
      <c r="Y171" s="798"/>
      <c r="Z171" s="798"/>
      <c r="AA171" s="798"/>
      <c r="AB171" s="798"/>
      <c r="AC171" s="798"/>
      <c r="AD171" s="798"/>
    </row>
    <row r="172" ht="15.75" customHeight="1">
      <c r="A172" s="798"/>
      <c r="B172" s="798"/>
      <c r="C172" s="798"/>
      <c r="D172" s="798"/>
      <c r="E172" s="798"/>
      <c r="F172" s="798"/>
      <c r="G172" s="798"/>
      <c r="H172" s="798"/>
      <c r="I172" s="798"/>
      <c r="J172" s="798"/>
      <c r="K172" s="798"/>
      <c r="L172" s="798"/>
      <c r="M172" s="798"/>
      <c r="N172" s="798"/>
      <c r="O172" s="798"/>
      <c r="P172" s="798"/>
      <c r="Q172" s="798"/>
      <c r="R172" s="798"/>
      <c r="S172" s="798"/>
      <c r="T172" s="798"/>
      <c r="U172" s="798"/>
      <c r="V172" s="798"/>
      <c r="W172" s="798"/>
      <c r="X172" s="798"/>
      <c r="Y172" s="798"/>
      <c r="Z172" s="798"/>
      <c r="AA172" s="798"/>
      <c r="AB172" s="798"/>
      <c r="AC172" s="798"/>
      <c r="AD172" s="798"/>
    </row>
    <row r="173" ht="15.75" customHeight="1">
      <c r="A173" s="798"/>
      <c r="B173" s="798"/>
      <c r="C173" s="798"/>
      <c r="D173" s="798"/>
      <c r="E173" s="798"/>
      <c r="F173" s="798"/>
      <c r="G173" s="798"/>
      <c r="H173" s="798"/>
      <c r="I173" s="798"/>
      <c r="J173" s="798"/>
      <c r="K173" s="798"/>
      <c r="L173" s="798"/>
      <c r="M173" s="798"/>
      <c r="N173" s="798"/>
      <c r="O173" s="798"/>
      <c r="P173" s="798"/>
      <c r="Q173" s="798"/>
      <c r="R173" s="798"/>
      <c r="S173" s="798"/>
      <c r="T173" s="798"/>
      <c r="U173" s="798"/>
      <c r="V173" s="798"/>
      <c r="W173" s="798"/>
      <c r="X173" s="798"/>
      <c r="Y173" s="798"/>
      <c r="Z173" s="798"/>
      <c r="AA173" s="798"/>
      <c r="AB173" s="798"/>
      <c r="AC173" s="798"/>
      <c r="AD173" s="798"/>
    </row>
    <row r="174" ht="15.75" customHeight="1">
      <c r="A174" s="798"/>
      <c r="B174" s="798"/>
      <c r="C174" s="798"/>
      <c r="D174" s="798"/>
      <c r="E174" s="798"/>
      <c r="F174" s="798"/>
      <c r="G174" s="798"/>
      <c r="H174" s="798"/>
      <c r="I174" s="798"/>
      <c r="J174" s="798"/>
      <c r="K174" s="798"/>
      <c r="L174" s="798"/>
      <c r="M174" s="798"/>
      <c r="N174" s="798"/>
      <c r="O174" s="798"/>
      <c r="P174" s="798"/>
      <c r="Q174" s="798"/>
      <c r="R174" s="798"/>
      <c r="S174" s="798"/>
      <c r="T174" s="798"/>
      <c r="U174" s="798"/>
      <c r="V174" s="798"/>
      <c r="W174" s="798"/>
      <c r="X174" s="798"/>
      <c r="Y174" s="798"/>
      <c r="Z174" s="798"/>
      <c r="AA174" s="798"/>
      <c r="AB174" s="798"/>
      <c r="AC174" s="798"/>
      <c r="AD174" s="798"/>
    </row>
    <row r="175" ht="15.75" customHeight="1">
      <c r="A175" s="798"/>
      <c r="B175" s="798"/>
      <c r="C175" s="798"/>
      <c r="D175" s="798"/>
      <c r="E175" s="798"/>
      <c r="F175" s="798"/>
      <c r="G175" s="798"/>
      <c r="H175" s="798"/>
      <c r="I175" s="798"/>
      <c r="J175" s="798"/>
      <c r="K175" s="798"/>
      <c r="L175" s="798"/>
      <c r="M175" s="798"/>
      <c r="N175" s="798"/>
      <c r="O175" s="798"/>
      <c r="P175" s="798"/>
      <c r="Q175" s="798"/>
      <c r="R175" s="798"/>
      <c r="S175" s="798"/>
      <c r="T175" s="798"/>
      <c r="U175" s="798"/>
      <c r="V175" s="798"/>
      <c r="W175" s="798"/>
      <c r="X175" s="798"/>
      <c r="Y175" s="798"/>
      <c r="Z175" s="798"/>
      <c r="AA175" s="798"/>
      <c r="AB175" s="798"/>
      <c r="AC175" s="798"/>
      <c r="AD175" s="798"/>
    </row>
    <row r="176" ht="15.75" customHeight="1">
      <c r="A176" s="798"/>
      <c r="B176" s="798"/>
      <c r="C176" s="798"/>
      <c r="D176" s="798"/>
      <c r="E176" s="798"/>
      <c r="F176" s="798"/>
      <c r="G176" s="798"/>
      <c r="H176" s="798"/>
      <c r="I176" s="798"/>
      <c r="J176" s="798"/>
      <c r="K176" s="798"/>
      <c r="L176" s="798"/>
      <c r="M176" s="798"/>
      <c r="N176" s="798"/>
      <c r="O176" s="798"/>
      <c r="P176" s="798"/>
      <c r="Q176" s="798"/>
      <c r="R176" s="798"/>
      <c r="S176" s="798"/>
      <c r="T176" s="798"/>
      <c r="U176" s="798"/>
      <c r="V176" s="798"/>
      <c r="W176" s="798"/>
      <c r="X176" s="798"/>
      <c r="Y176" s="798"/>
      <c r="Z176" s="798"/>
      <c r="AA176" s="798"/>
      <c r="AB176" s="798"/>
      <c r="AC176" s="798"/>
      <c r="AD176" s="798"/>
    </row>
    <row r="177" ht="15.75" customHeight="1">
      <c r="A177" s="798"/>
      <c r="B177" s="798"/>
      <c r="C177" s="798"/>
      <c r="D177" s="798"/>
      <c r="E177" s="798"/>
      <c r="F177" s="798"/>
      <c r="G177" s="798"/>
      <c r="H177" s="798"/>
      <c r="I177" s="798"/>
      <c r="J177" s="798"/>
      <c r="K177" s="798"/>
      <c r="L177" s="798"/>
      <c r="M177" s="798"/>
      <c r="N177" s="798"/>
      <c r="O177" s="798"/>
      <c r="P177" s="798"/>
      <c r="Q177" s="798"/>
      <c r="R177" s="798"/>
      <c r="S177" s="798"/>
      <c r="T177" s="798"/>
      <c r="U177" s="798"/>
      <c r="V177" s="798"/>
      <c r="W177" s="798"/>
      <c r="X177" s="798"/>
      <c r="Y177" s="798"/>
      <c r="Z177" s="798"/>
      <c r="AA177" s="798"/>
      <c r="AB177" s="798"/>
      <c r="AC177" s="798"/>
      <c r="AD177" s="798"/>
    </row>
    <row r="178" ht="15.75" customHeight="1">
      <c r="A178" s="798"/>
      <c r="B178" s="798"/>
      <c r="C178" s="798"/>
      <c r="D178" s="798"/>
      <c r="E178" s="798"/>
      <c r="F178" s="798"/>
      <c r="G178" s="798"/>
      <c r="H178" s="798"/>
      <c r="I178" s="798"/>
      <c r="J178" s="798"/>
      <c r="K178" s="798"/>
      <c r="L178" s="798"/>
      <c r="M178" s="798"/>
      <c r="N178" s="798"/>
      <c r="O178" s="798"/>
      <c r="P178" s="798"/>
      <c r="Q178" s="798"/>
      <c r="R178" s="798"/>
      <c r="S178" s="798"/>
      <c r="T178" s="798"/>
      <c r="U178" s="798"/>
      <c r="V178" s="798"/>
      <c r="W178" s="798"/>
      <c r="X178" s="798"/>
      <c r="Y178" s="798"/>
      <c r="Z178" s="798"/>
      <c r="AA178" s="798"/>
      <c r="AB178" s="798"/>
      <c r="AC178" s="798"/>
      <c r="AD178" s="798"/>
    </row>
    <row r="179" ht="15.75" customHeight="1">
      <c r="A179" s="798"/>
      <c r="B179" s="798"/>
      <c r="C179" s="798"/>
      <c r="D179" s="798"/>
      <c r="E179" s="798"/>
      <c r="F179" s="798"/>
      <c r="G179" s="798"/>
      <c r="H179" s="798"/>
      <c r="I179" s="798"/>
      <c r="J179" s="798"/>
      <c r="K179" s="798"/>
      <c r="L179" s="798"/>
      <c r="M179" s="798"/>
      <c r="N179" s="798"/>
      <c r="O179" s="798"/>
      <c r="P179" s="798"/>
      <c r="Q179" s="798"/>
      <c r="R179" s="798"/>
      <c r="S179" s="798"/>
      <c r="T179" s="798"/>
      <c r="U179" s="798"/>
      <c r="V179" s="798"/>
      <c r="W179" s="798"/>
      <c r="X179" s="798"/>
      <c r="Y179" s="798"/>
      <c r="Z179" s="798"/>
      <c r="AA179" s="798"/>
      <c r="AB179" s="798"/>
      <c r="AC179" s="798"/>
      <c r="AD179" s="798"/>
    </row>
    <row r="180" ht="15.75" customHeight="1">
      <c r="A180" s="798"/>
      <c r="B180" s="798"/>
      <c r="C180" s="798"/>
      <c r="D180" s="798"/>
      <c r="E180" s="798"/>
      <c r="F180" s="798"/>
      <c r="G180" s="798"/>
      <c r="H180" s="798"/>
      <c r="I180" s="798"/>
      <c r="J180" s="798"/>
      <c r="K180" s="798"/>
      <c r="L180" s="798"/>
      <c r="M180" s="798"/>
      <c r="N180" s="798"/>
      <c r="O180" s="798"/>
      <c r="P180" s="798"/>
      <c r="Q180" s="798"/>
      <c r="R180" s="798"/>
      <c r="S180" s="798"/>
      <c r="T180" s="798"/>
      <c r="U180" s="798"/>
      <c r="V180" s="798"/>
      <c r="W180" s="798"/>
      <c r="X180" s="798"/>
      <c r="Y180" s="798"/>
      <c r="Z180" s="798"/>
      <c r="AA180" s="798"/>
      <c r="AB180" s="798"/>
      <c r="AC180" s="798"/>
      <c r="AD180" s="798"/>
    </row>
    <row r="181" ht="15.75" customHeight="1">
      <c r="A181" s="798"/>
      <c r="B181" s="798"/>
      <c r="C181" s="798"/>
      <c r="D181" s="798"/>
      <c r="E181" s="798"/>
      <c r="F181" s="798"/>
      <c r="G181" s="798"/>
      <c r="H181" s="798"/>
      <c r="I181" s="798"/>
      <c r="J181" s="798"/>
      <c r="K181" s="798"/>
      <c r="L181" s="798"/>
      <c r="M181" s="798"/>
      <c r="N181" s="798"/>
      <c r="O181" s="798"/>
      <c r="P181" s="798"/>
      <c r="Q181" s="798"/>
      <c r="R181" s="798"/>
      <c r="S181" s="798"/>
      <c r="T181" s="798"/>
      <c r="U181" s="798"/>
      <c r="V181" s="798"/>
      <c r="W181" s="798"/>
      <c r="X181" s="798"/>
      <c r="Y181" s="798"/>
      <c r="Z181" s="798"/>
      <c r="AA181" s="798"/>
      <c r="AB181" s="798"/>
      <c r="AC181" s="798"/>
      <c r="AD181" s="798"/>
    </row>
    <row r="182" ht="15.75" customHeight="1">
      <c r="A182" s="798"/>
      <c r="B182" s="798"/>
      <c r="C182" s="798"/>
      <c r="D182" s="798"/>
      <c r="E182" s="798"/>
      <c r="F182" s="798"/>
      <c r="G182" s="798"/>
      <c r="H182" s="798"/>
      <c r="I182" s="798"/>
      <c r="J182" s="798"/>
      <c r="K182" s="798"/>
      <c r="L182" s="798"/>
      <c r="M182" s="798"/>
      <c r="N182" s="798"/>
      <c r="O182" s="798"/>
      <c r="P182" s="798"/>
      <c r="Q182" s="798"/>
      <c r="R182" s="798"/>
      <c r="S182" s="798"/>
      <c r="T182" s="798"/>
      <c r="U182" s="798"/>
      <c r="V182" s="798"/>
      <c r="W182" s="798"/>
      <c r="X182" s="798"/>
      <c r="Y182" s="798"/>
      <c r="Z182" s="798"/>
      <c r="AA182" s="798"/>
      <c r="AB182" s="798"/>
      <c r="AC182" s="798"/>
      <c r="AD182" s="798"/>
    </row>
    <row r="183" ht="15.75" customHeight="1">
      <c r="A183" s="798"/>
      <c r="B183" s="798"/>
      <c r="C183" s="798"/>
      <c r="D183" s="798"/>
      <c r="E183" s="798"/>
      <c r="F183" s="798"/>
      <c r="G183" s="798"/>
      <c r="H183" s="798"/>
      <c r="I183" s="798"/>
      <c r="J183" s="798"/>
      <c r="K183" s="798"/>
      <c r="L183" s="798"/>
      <c r="M183" s="798"/>
      <c r="N183" s="798"/>
      <c r="O183" s="798"/>
      <c r="P183" s="798"/>
      <c r="Q183" s="798"/>
      <c r="R183" s="798"/>
      <c r="S183" s="798"/>
      <c r="T183" s="798"/>
      <c r="U183" s="798"/>
      <c r="V183" s="798"/>
      <c r="W183" s="798"/>
      <c r="X183" s="798"/>
      <c r="Y183" s="798"/>
      <c r="Z183" s="798"/>
      <c r="AA183" s="798"/>
      <c r="AB183" s="798"/>
      <c r="AC183" s="798"/>
      <c r="AD183" s="798"/>
    </row>
    <row r="184" ht="15.75" customHeight="1">
      <c r="A184" s="798"/>
      <c r="B184" s="798"/>
      <c r="C184" s="798"/>
      <c r="D184" s="798"/>
      <c r="E184" s="798"/>
      <c r="F184" s="798"/>
      <c r="G184" s="798"/>
      <c r="H184" s="798"/>
      <c r="I184" s="798"/>
      <c r="J184" s="798"/>
      <c r="K184" s="798"/>
      <c r="L184" s="798"/>
      <c r="M184" s="798"/>
      <c r="N184" s="798"/>
      <c r="O184" s="798"/>
      <c r="P184" s="798"/>
      <c r="Q184" s="798"/>
      <c r="R184" s="798"/>
      <c r="S184" s="798"/>
      <c r="T184" s="798"/>
      <c r="U184" s="798"/>
      <c r="V184" s="798"/>
      <c r="W184" s="798"/>
      <c r="X184" s="798"/>
      <c r="Y184" s="798"/>
      <c r="Z184" s="798"/>
      <c r="AA184" s="798"/>
      <c r="AB184" s="798"/>
      <c r="AC184" s="798"/>
      <c r="AD184" s="798"/>
    </row>
    <row r="185" ht="15.75" customHeight="1">
      <c r="A185" s="798"/>
      <c r="B185" s="798"/>
      <c r="C185" s="798"/>
      <c r="D185" s="798"/>
      <c r="E185" s="798"/>
      <c r="F185" s="798"/>
      <c r="G185" s="798"/>
      <c r="H185" s="798"/>
      <c r="I185" s="798"/>
      <c r="J185" s="798"/>
      <c r="K185" s="798"/>
      <c r="L185" s="798"/>
      <c r="M185" s="798"/>
      <c r="N185" s="798"/>
      <c r="O185" s="798"/>
      <c r="P185" s="798"/>
      <c r="Q185" s="798"/>
      <c r="R185" s="798"/>
      <c r="S185" s="798"/>
      <c r="T185" s="798"/>
      <c r="U185" s="798"/>
      <c r="V185" s="798"/>
      <c r="W185" s="798"/>
      <c r="X185" s="798"/>
      <c r="Y185" s="798"/>
      <c r="Z185" s="798"/>
      <c r="AA185" s="798"/>
      <c r="AB185" s="798"/>
      <c r="AC185" s="798"/>
      <c r="AD185" s="798"/>
    </row>
    <row r="186" ht="15.75" customHeight="1">
      <c r="A186" s="798"/>
      <c r="B186" s="798"/>
      <c r="C186" s="798"/>
      <c r="D186" s="798"/>
      <c r="E186" s="798"/>
      <c r="F186" s="798"/>
      <c r="G186" s="798"/>
      <c r="H186" s="798"/>
      <c r="I186" s="798"/>
      <c r="J186" s="798"/>
      <c r="K186" s="798"/>
      <c r="L186" s="798"/>
      <c r="M186" s="798"/>
      <c r="N186" s="798"/>
      <c r="O186" s="798"/>
      <c r="P186" s="798"/>
      <c r="Q186" s="798"/>
      <c r="R186" s="798"/>
      <c r="S186" s="798"/>
      <c r="T186" s="798"/>
      <c r="U186" s="798"/>
      <c r="V186" s="798"/>
      <c r="W186" s="798"/>
      <c r="X186" s="798"/>
      <c r="Y186" s="798"/>
      <c r="Z186" s="798"/>
      <c r="AA186" s="798"/>
      <c r="AB186" s="798"/>
      <c r="AC186" s="798"/>
      <c r="AD186" s="798"/>
    </row>
    <row r="187" ht="15.75" customHeight="1">
      <c r="A187" s="798"/>
      <c r="B187" s="798"/>
      <c r="C187" s="798"/>
      <c r="D187" s="798"/>
      <c r="E187" s="798"/>
      <c r="F187" s="798"/>
      <c r="G187" s="798"/>
      <c r="H187" s="798"/>
      <c r="I187" s="798"/>
      <c r="J187" s="798"/>
      <c r="K187" s="798"/>
      <c r="L187" s="798"/>
      <c r="M187" s="798"/>
      <c r="N187" s="798"/>
      <c r="O187" s="798"/>
      <c r="P187" s="798"/>
      <c r="Q187" s="798"/>
      <c r="R187" s="798"/>
      <c r="S187" s="798"/>
      <c r="T187" s="798"/>
      <c r="U187" s="798"/>
      <c r="V187" s="798"/>
      <c r="W187" s="798"/>
      <c r="X187" s="798"/>
      <c r="Y187" s="798"/>
      <c r="Z187" s="798"/>
      <c r="AA187" s="798"/>
      <c r="AB187" s="798"/>
      <c r="AC187" s="798"/>
      <c r="AD187" s="798"/>
    </row>
    <row r="188" ht="15.75" customHeight="1">
      <c r="A188" s="798"/>
      <c r="B188" s="798"/>
      <c r="C188" s="798"/>
      <c r="D188" s="798"/>
      <c r="E188" s="798"/>
      <c r="F188" s="798"/>
      <c r="G188" s="798"/>
      <c r="H188" s="798"/>
      <c r="I188" s="798"/>
      <c r="J188" s="798"/>
      <c r="K188" s="798"/>
      <c r="L188" s="798"/>
      <c r="M188" s="798"/>
      <c r="N188" s="798"/>
      <c r="O188" s="798"/>
      <c r="P188" s="798"/>
      <c r="Q188" s="798"/>
      <c r="R188" s="798"/>
      <c r="S188" s="798"/>
      <c r="T188" s="798"/>
      <c r="U188" s="798"/>
      <c r="V188" s="798"/>
      <c r="W188" s="798"/>
      <c r="X188" s="798"/>
      <c r="Y188" s="798"/>
      <c r="Z188" s="798"/>
      <c r="AA188" s="798"/>
      <c r="AB188" s="798"/>
      <c r="AC188" s="798"/>
      <c r="AD188" s="798"/>
    </row>
    <row r="189" ht="15.75" customHeight="1">
      <c r="A189" s="798"/>
      <c r="B189" s="798"/>
      <c r="C189" s="798"/>
      <c r="D189" s="798"/>
      <c r="E189" s="798"/>
      <c r="F189" s="798"/>
      <c r="G189" s="798"/>
      <c r="H189" s="798"/>
      <c r="I189" s="798"/>
      <c r="J189" s="798"/>
      <c r="K189" s="798"/>
      <c r="L189" s="798"/>
      <c r="M189" s="798"/>
      <c r="N189" s="798"/>
      <c r="O189" s="798"/>
      <c r="P189" s="798"/>
      <c r="Q189" s="798"/>
      <c r="R189" s="798"/>
      <c r="S189" s="798"/>
      <c r="T189" s="798"/>
      <c r="U189" s="798"/>
      <c r="V189" s="798"/>
      <c r="W189" s="798"/>
      <c r="X189" s="798"/>
      <c r="Y189" s="798"/>
      <c r="Z189" s="798"/>
      <c r="AA189" s="798"/>
      <c r="AB189" s="798"/>
      <c r="AC189" s="798"/>
      <c r="AD189" s="798"/>
    </row>
    <row r="190" ht="15.75" customHeight="1">
      <c r="A190" s="798"/>
      <c r="B190" s="798"/>
      <c r="C190" s="798"/>
      <c r="D190" s="798"/>
      <c r="E190" s="798"/>
      <c r="F190" s="798"/>
      <c r="G190" s="798"/>
      <c r="H190" s="798"/>
      <c r="I190" s="798"/>
      <c r="J190" s="798"/>
      <c r="K190" s="798"/>
      <c r="L190" s="798"/>
      <c r="M190" s="798"/>
      <c r="N190" s="798"/>
      <c r="O190" s="798"/>
      <c r="P190" s="798"/>
      <c r="Q190" s="798"/>
      <c r="R190" s="798"/>
      <c r="S190" s="798"/>
      <c r="T190" s="798"/>
      <c r="U190" s="798"/>
      <c r="V190" s="798"/>
      <c r="W190" s="798"/>
      <c r="X190" s="798"/>
      <c r="Y190" s="798"/>
      <c r="Z190" s="798"/>
      <c r="AA190" s="798"/>
      <c r="AB190" s="798"/>
      <c r="AC190" s="798"/>
      <c r="AD190" s="798"/>
    </row>
    <row r="191" ht="15.75" customHeight="1">
      <c r="A191" s="798"/>
      <c r="B191" s="798"/>
      <c r="C191" s="798"/>
      <c r="D191" s="798"/>
      <c r="E191" s="798"/>
      <c r="F191" s="798"/>
      <c r="G191" s="798"/>
      <c r="H191" s="798"/>
      <c r="I191" s="798"/>
      <c r="J191" s="798"/>
      <c r="K191" s="798"/>
      <c r="L191" s="798"/>
      <c r="M191" s="798"/>
      <c r="N191" s="798"/>
      <c r="O191" s="798"/>
      <c r="P191" s="798"/>
      <c r="Q191" s="798"/>
      <c r="R191" s="798"/>
      <c r="S191" s="798"/>
      <c r="T191" s="798"/>
      <c r="U191" s="798"/>
      <c r="V191" s="798"/>
      <c r="W191" s="798"/>
      <c r="X191" s="798"/>
      <c r="Y191" s="798"/>
      <c r="Z191" s="798"/>
      <c r="AA191" s="798"/>
      <c r="AB191" s="798"/>
      <c r="AC191" s="798"/>
      <c r="AD191" s="798"/>
    </row>
    <row r="192" ht="15.75" customHeight="1">
      <c r="A192" s="798"/>
      <c r="B192" s="798"/>
      <c r="C192" s="798"/>
      <c r="D192" s="798"/>
      <c r="E192" s="798"/>
      <c r="F192" s="798"/>
      <c r="G192" s="798"/>
      <c r="H192" s="798"/>
      <c r="I192" s="798"/>
      <c r="J192" s="798"/>
      <c r="K192" s="798"/>
      <c r="L192" s="798"/>
      <c r="M192" s="798"/>
      <c r="N192" s="798"/>
      <c r="O192" s="798"/>
      <c r="P192" s="798"/>
      <c r="Q192" s="798"/>
      <c r="R192" s="798"/>
      <c r="S192" s="798"/>
      <c r="T192" s="798"/>
      <c r="U192" s="798"/>
      <c r="V192" s="798"/>
      <c r="W192" s="798"/>
      <c r="X192" s="798"/>
      <c r="Y192" s="798"/>
      <c r="Z192" s="798"/>
      <c r="AA192" s="798"/>
      <c r="AB192" s="798"/>
      <c r="AC192" s="798"/>
      <c r="AD192" s="798"/>
    </row>
    <row r="193" ht="15.75" customHeight="1">
      <c r="A193" s="798"/>
      <c r="B193" s="798"/>
      <c r="C193" s="798"/>
      <c r="D193" s="798"/>
      <c r="E193" s="798"/>
      <c r="F193" s="798"/>
      <c r="G193" s="798"/>
      <c r="H193" s="798"/>
      <c r="I193" s="798"/>
      <c r="J193" s="798"/>
      <c r="K193" s="798"/>
      <c r="L193" s="798"/>
      <c r="M193" s="798"/>
      <c r="N193" s="798"/>
      <c r="O193" s="798"/>
      <c r="P193" s="798"/>
      <c r="Q193" s="798"/>
      <c r="R193" s="798"/>
      <c r="S193" s="798"/>
      <c r="T193" s="798"/>
      <c r="U193" s="798"/>
      <c r="V193" s="798"/>
      <c r="W193" s="798"/>
      <c r="X193" s="798"/>
      <c r="Y193" s="798"/>
      <c r="Z193" s="798"/>
      <c r="AA193" s="798"/>
      <c r="AB193" s="798"/>
      <c r="AC193" s="798"/>
      <c r="AD193" s="798"/>
    </row>
    <row r="194" ht="15.75" customHeight="1">
      <c r="A194" s="798"/>
      <c r="B194" s="798"/>
      <c r="C194" s="798"/>
      <c r="D194" s="798"/>
      <c r="E194" s="798"/>
      <c r="F194" s="798"/>
      <c r="G194" s="798"/>
      <c r="H194" s="798"/>
      <c r="I194" s="798"/>
      <c r="J194" s="798"/>
      <c r="K194" s="798"/>
      <c r="L194" s="798"/>
      <c r="M194" s="798"/>
      <c r="N194" s="798"/>
      <c r="O194" s="798"/>
      <c r="P194" s="798"/>
      <c r="Q194" s="798"/>
      <c r="R194" s="798"/>
      <c r="S194" s="798"/>
      <c r="T194" s="798"/>
      <c r="U194" s="798"/>
      <c r="V194" s="798"/>
      <c r="W194" s="798"/>
      <c r="X194" s="798"/>
      <c r="Y194" s="798"/>
      <c r="Z194" s="798"/>
      <c r="AA194" s="798"/>
      <c r="AB194" s="798"/>
      <c r="AC194" s="798"/>
      <c r="AD194" s="798"/>
    </row>
    <row r="195" ht="15.75" customHeight="1">
      <c r="A195" s="798"/>
      <c r="B195" s="798"/>
      <c r="C195" s="798"/>
      <c r="D195" s="798"/>
      <c r="E195" s="798"/>
      <c r="F195" s="798"/>
      <c r="G195" s="798"/>
      <c r="H195" s="798"/>
      <c r="I195" s="798"/>
      <c r="J195" s="798"/>
      <c r="K195" s="798"/>
      <c r="L195" s="798"/>
      <c r="M195" s="798"/>
      <c r="N195" s="798"/>
      <c r="O195" s="798"/>
      <c r="P195" s="798"/>
      <c r="Q195" s="798"/>
      <c r="R195" s="798"/>
      <c r="S195" s="798"/>
      <c r="T195" s="798"/>
      <c r="U195" s="798"/>
      <c r="V195" s="798"/>
      <c r="W195" s="798"/>
      <c r="X195" s="798"/>
      <c r="Y195" s="798"/>
      <c r="Z195" s="798"/>
      <c r="AA195" s="798"/>
      <c r="AB195" s="798"/>
      <c r="AC195" s="798"/>
      <c r="AD195" s="798"/>
    </row>
    <row r="196" ht="15.75" customHeight="1">
      <c r="A196" s="798"/>
      <c r="B196" s="798"/>
      <c r="C196" s="798"/>
      <c r="D196" s="798"/>
      <c r="E196" s="798"/>
      <c r="F196" s="798"/>
      <c r="G196" s="798"/>
      <c r="H196" s="798"/>
      <c r="I196" s="798"/>
      <c r="J196" s="798"/>
      <c r="K196" s="798"/>
      <c r="L196" s="798"/>
      <c r="M196" s="798"/>
      <c r="N196" s="798"/>
      <c r="O196" s="798"/>
      <c r="P196" s="798"/>
      <c r="Q196" s="798"/>
      <c r="R196" s="798"/>
      <c r="S196" s="798"/>
      <c r="T196" s="798"/>
      <c r="U196" s="798"/>
      <c r="V196" s="798"/>
      <c r="W196" s="798"/>
      <c r="X196" s="798"/>
      <c r="Y196" s="798"/>
      <c r="Z196" s="798"/>
      <c r="AA196" s="798"/>
      <c r="AB196" s="798"/>
      <c r="AC196" s="798"/>
      <c r="AD196" s="798"/>
    </row>
    <row r="197" ht="15.75" customHeight="1">
      <c r="A197" s="798"/>
      <c r="B197" s="798"/>
      <c r="C197" s="798"/>
      <c r="D197" s="798"/>
      <c r="E197" s="798"/>
      <c r="F197" s="798"/>
      <c r="G197" s="798"/>
      <c r="H197" s="798"/>
      <c r="I197" s="798"/>
      <c r="J197" s="798"/>
      <c r="K197" s="798"/>
      <c r="L197" s="798"/>
      <c r="M197" s="798"/>
      <c r="N197" s="798"/>
      <c r="O197" s="798"/>
      <c r="P197" s="798"/>
      <c r="Q197" s="798"/>
      <c r="R197" s="798"/>
      <c r="S197" s="798"/>
      <c r="T197" s="798"/>
      <c r="U197" s="798"/>
      <c r="V197" s="798"/>
      <c r="W197" s="798"/>
      <c r="X197" s="798"/>
      <c r="Y197" s="798"/>
      <c r="Z197" s="798"/>
      <c r="AA197" s="798"/>
      <c r="AB197" s="798"/>
      <c r="AC197" s="798"/>
      <c r="AD197" s="798"/>
    </row>
    <row r="198" ht="15.75" customHeight="1">
      <c r="A198" s="798"/>
      <c r="B198" s="798"/>
      <c r="C198" s="798"/>
      <c r="D198" s="798"/>
      <c r="E198" s="798"/>
      <c r="F198" s="798"/>
      <c r="G198" s="798"/>
      <c r="H198" s="798"/>
      <c r="I198" s="798"/>
      <c r="J198" s="798"/>
      <c r="K198" s="798"/>
      <c r="L198" s="798"/>
      <c r="M198" s="798"/>
      <c r="N198" s="798"/>
      <c r="O198" s="798"/>
      <c r="P198" s="798"/>
      <c r="Q198" s="798"/>
      <c r="R198" s="798"/>
      <c r="S198" s="798"/>
      <c r="T198" s="798"/>
      <c r="U198" s="798"/>
      <c r="V198" s="798"/>
      <c r="W198" s="798"/>
      <c r="X198" s="798"/>
      <c r="Y198" s="798"/>
      <c r="Z198" s="798"/>
      <c r="AA198" s="798"/>
      <c r="AB198" s="798"/>
      <c r="AC198" s="798"/>
      <c r="AD198" s="798"/>
    </row>
    <row r="199" ht="15.75" customHeight="1">
      <c r="A199" s="798"/>
      <c r="B199" s="798"/>
      <c r="C199" s="798"/>
      <c r="D199" s="798"/>
      <c r="E199" s="798"/>
      <c r="F199" s="798"/>
      <c r="G199" s="798"/>
      <c r="H199" s="798"/>
      <c r="I199" s="798"/>
      <c r="J199" s="798"/>
      <c r="K199" s="798"/>
      <c r="L199" s="798"/>
      <c r="M199" s="798"/>
      <c r="N199" s="798"/>
      <c r="O199" s="798"/>
      <c r="P199" s="798"/>
      <c r="Q199" s="798"/>
      <c r="R199" s="798"/>
      <c r="S199" s="798"/>
      <c r="T199" s="798"/>
      <c r="U199" s="798"/>
      <c r="V199" s="798"/>
      <c r="W199" s="798"/>
      <c r="X199" s="798"/>
      <c r="Y199" s="798"/>
      <c r="Z199" s="798"/>
      <c r="AA199" s="798"/>
      <c r="AB199" s="798"/>
      <c r="AC199" s="798"/>
      <c r="AD199" s="798"/>
    </row>
    <row r="200" ht="15.75" customHeight="1">
      <c r="A200" s="798"/>
      <c r="B200" s="798"/>
      <c r="C200" s="798"/>
      <c r="D200" s="798"/>
      <c r="E200" s="798"/>
      <c r="F200" s="798"/>
      <c r="G200" s="798"/>
      <c r="H200" s="798"/>
      <c r="I200" s="798"/>
      <c r="J200" s="798"/>
      <c r="K200" s="798"/>
      <c r="L200" s="798"/>
      <c r="M200" s="798"/>
      <c r="N200" s="798"/>
      <c r="O200" s="798"/>
      <c r="P200" s="798"/>
      <c r="Q200" s="798"/>
      <c r="R200" s="798"/>
      <c r="S200" s="798"/>
      <c r="T200" s="798"/>
      <c r="U200" s="798"/>
      <c r="V200" s="798"/>
      <c r="W200" s="798"/>
      <c r="X200" s="798"/>
      <c r="Y200" s="798"/>
      <c r="Z200" s="798"/>
      <c r="AA200" s="798"/>
      <c r="AB200" s="798"/>
      <c r="AC200" s="798"/>
      <c r="AD200" s="798"/>
    </row>
    <row r="201" ht="15.75" customHeight="1">
      <c r="A201" s="798"/>
      <c r="B201" s="798"/>
      <c r="C201" s="798"/>
      <c r="D201" s="798"/>
      <c r="E201" s="798"/>
      <c r="F201" s="798"/>
      <c r="G201" s="798"/>
      <c r="H201" s="798"/>
      <c r="I201" s="798"/>
      <c r="J201" s="798"/>
      <c r="K201" s="798"/>
      <c r="L201" s="798"/>
      <c r="M201" s="798"/>
      <c r="N201" s="798"/>
      <c r="O201" s="798"/>
      <c r="P201" s="798"/>
      <c r="Q201" s="798"/>
      <c r="R201" s="798"/>
      <c r="S201" s="798"/>
      <c r="T201" s="798"/>
      <c r="U201" s="798"/>
      <c r="V201" s="798"/>
      <c r="W201" s="798"/>
      <c r="X201" s="798"/>
      <c r="Y201" s="798"/>
      <c r="Z201" s="798"/>
      <c r="AA201" s="798"/>
      <c r="AB201" s="798"/>
      <c r="AC201" s="798"/>
      <c r="AD201" s="798"/>
    </row>
    <row r="202" ht="15.75" customHeight="1">
      <c r="A202" s="798"/>
      <c r="B202" s="798"/>
      <c r="C202" s="798"/>
      <c r="D202" s="798"/>
      <c r="E202" s="798"/>
      <c r="F202" s="798"/>
      <c r="G202" s="798"/>
      <c r="H202" s="798"/>
      <c r="I202" s="798"/>
      <c r="J202" s="798"/>
      <c r="K202" s="798"/>
      <c r="L202" s="798"/>
      <c r="M202" s="798"/>
      <c r="N202" s="798"/>
      <c r="O202" s="798"/>
      <c r="P202" s="798"/>
      <c r="Q202" s="798"/>
      <c r="R202" s="798"/>
      <c r="S202" s="798"/>
      <c r="T202" s="798"/>
      <c r="U202" s="798"/>
      <c r="V202" s="798"/>
      <c r="W202" s="798"/>
      <c r="X202" s="798"/>
      <c r="Y202" s="798"/>
      <c r="Z202" s="798"/>
      <c r="AA202" s="798"/>
      <c r="AB202" s="798"/>
      <c r="AC202" s="798"/>
      <c r="AD202" s="798"/>
    </row>
    <row r="203" ht="15.75" customHeight="1">
      <c r="A203" s="798"/>
      <c r="B203" s="798"/>
      <c r="C203" s="798"/>
      <c r="D203" s="798"/>
      <c r="E203" s="798"/>
      <c r="F203" s="798"/>
      <c r="G203" s="798"/>
      <c r="H203" s="798"/>
      <c r="I203" s="798"/>
      <c r="J203" s="798"/>
      <c r="K203" s="798"/>
      <c r="L203" s="798"/>
      <c r="M203" s="798"/>
      <c r="N203" s="798"/>
      <c r="O203" s="798"/>
      <c r="P203" s="798"/>
      <c r="Q203" s="798"/>
      <c r="R203" s="798"/>
      <c r="S203" s="798"/>
      <c r="T203" s="798"/>
      <c r="U203" s="798"/>
      <c r="V203" s="798"/>
      <c r="W203" s="798"/>
      <c r="X203" s="798"/>
      <c r="Y203" s="798"/>
      <c r="Z203" s="798"/>
      <c r="AA203" s="798"/>
      <c r="AB203" s="798"/>
      <c r="AC203" s="798"/>
      <c r="AD203" s="798"/>
    </row>
    <row r="204" ht="15.75" customHeight="1">
      <c r="A204" s="798"/>
      <c r="B204" s="798"/>
      <c r="C204" s="798"/>
      <c r="D204" s="798"/>
      <c r="E204" s="798"/>
      <c r="F204" s="798"/>
      <c r="G204" s="798"/>
      <c r="H204" s="798"/>
      <c r="I204" s="798"/>
      <c r="J204" s="798"/>
      <c r="K204" s="798"/>
      <c r="L204" s="798"/>
      <c r="M204" s="798"/>
      <c r="N204" s="798"/>
      <c r="O204" s="798"/>
      <c r="P204" s="798"/>
      <c r="Q204" s="798"/>
      <c r="R204" s="798"/>
      <c r="S204" s="798"/>
      <c r="T204" s="798"/>
      <c r="U204" s="798"/>
      <c r="V204" s="798"/>
      <c r="W204" s="798"/>
      <c r="X204" s="798"/>
      <c r="Y204" s="798"/>
      <c r="Z204" s="798"/>
      <c r="AA204" s="798"/>
      <c r="AB204" s="798"/>
      <c r="AC204" s="798"/>
      <c r="AD204" s="798"/>
    </row>
    <row r="205" ht="15.75" customHeight="1">
      <c r="A205" s="798"/>
      <c r="B205" s="798"/>
      <c r="C205" s="798"/>
      <c r="D205" s="798"/>
      <c r="E205" s="798"/>
      <c r="F205" s="798"/>
      <c r="G205" s="798"/>
      <c r="H205" s="798"/>
      <c r="I205" s="798"/>
      <c r="J205" s="798"/>
      <c r="K205" s="798"/>
      <c r="L205" s="798"/>
      <c r="M205" s="798"/>
      <c r="N205" s="798"/>
      <c r="O205" s="798"/>
      <c r="P205" s="798"/>
      <c r="Q205" s="798"/>
      <c r="R205" s="798"/>
      <c r="S205" s="798"/>
      <c r="T205" s="798"/>
      <c r="U205" s="798"/>
      <c r="V205" s="798"/>
      <c r="W205" s="798"/>
      <c r="X205" s="798"/>
      <c r="Y205" s="798"/>
      <c r="Z205" s="798"/>
      <c r="AA205" s="798"/>
      <c r="AB205" s="798"/>
      <c r="AC205" s="798"/>
      <c r="AD205" s="798"/>
    </row>
    <row r="206" ht="15.75" customHeight="1">
      <c r="A206" s="798"/>
      <c r="B206" s="798"/>
      <c r="C206" s="798"/>
      <c r="D206" s="798"/>
      <c r="E206" s="798"/>
      <c r="F206" s="798"/>
      <c r="G206" s="798"/>
      <c r="H206" s="798"/>
      <c r="I206" s="798"/>
      <c r="J206" s="798"/>
      <c r="K206" s="798"/>
      <c r="L206" s="798"/>
      <c r="M206" s="798"/>
      <c r="N206" s="798"/>
      <c r="O206" s="798"/>
      <c r="P206" s="798"/>
      <c r="Q206" s="798"/>
      <c r="R206" s="798"/>
      <c r="S206" s="798"/>
      <c r="T206" s="798"/>
      <c r="U206" s="798"/>
      <c r="V206" s="798"/>
      <c r="W206" s="798"/>
      <c r="X206" s="798"/>
      <c r="Y206" s="798"/>
      <c r="Z206" s="798"/>
      <c r="AA206" s="798"/>
      <c r="AB206" s="798"/>
      <c r="AC206" s="798"/>
      <c r="AD206" s="798"/>
    </row>
    <row r="207" ht="15.75" customHeight="1">
      <c r="A207" s="798"/>
      <c r="B207" s="798"/>
      <c r="C207" s="798"/>
      <c r="D207" s="798"/>
      <c r="E207" s="798"/>
      <c r="F207" s="798"/>
      <c r="G207" s="798"/>
      <c r="H207" s="798"/>
      <c r="I207" s="798"/>
      <c r="J207" s="798"/>
      <c r="K207" s="798"/>
      <c r="L207" s="798"/>
      <c r="M207" s="798"/>
      <c r="N207" s="798"/>
      <c r="O207" s="798"/>
      <c r="P207" s="798"/>
      <c r="Q207" s="798"/>
      <c r="R207" s="798"/>
      <c r="S207" s="798"/>
      <c r="T207" s="798"/>
      <c r="U207" s="798"/>
      <c r="V207" s="798"/>
      <c r="W207" s="798"/>
      <c r="X207" s="798"/>
      <c r="Y207" s="798"/>
      <c r="Z207" s="798"/>
      <c r="AA207" s="798"/>
      <c r="AB207" s="798"/>
      <c r="AC207" s="798"/>
      <c r="AD207" s="798"/>
    </row>
    <row r="208" ht="15.75" customHeight="1">
      <c r="A208" s="798"/>
      <c r="B208" s="798"/>
      <c r="C208" s="798"/>
      <c r="D208" s="798"/>
      <c r="E208" s="798"/>
      <c r="F208" s="798"/>
      <c r="G208" s="798"/>
      <c r="H208" s="798"/>
      <c r="I208" s="798"/>
      <c r="J208" s="798"/>
      <c r="K208" s="798"/>
      <c r="L208" s="798"/>
      <c r="M208" s="798"/>
      <c r="N208" s="798"/>
      <c r="O208" s="798"/>
      <c r="P208" s="798"/>
      <c r="Q208" s="798"/>
      <c r="R208" s="798"/>
      <c r="S208" s="798"/>
      <c r="T208" s="798"/>
      <c r="U208" s="798"/>
      <c r="V208" s="798"/>
      <c r="W208" s="798"/>
      <c r="X208" s="798"/>
      <c r="Y208" s="798"/>
      <c r="Z208" s="798"/>
      <c r="AA208" s="798"/>
      <c r="AB208" s="798"/>
      <c r="AC208" s="798"/>
      <c r="AD208" s="798"/>
    </row>
    <row r="209" ht="15.75" customHeight="1">
      <c r="A209" s="798"/>
      <c r="B209" s="798"/>
      <c r="C209" s="798"/>
      <c r="D209" s="798"/>
      <c r="E209" s="798"/>
      <c r="F209" s="798"/>
      <c r="G209" s="798"/>
      <c r="H209" s="798"/>
      <c r="I209" s="798"/>
      <c r="J209" s="798"/>
      <c r="K209" s="798"/>
      <c r="L209" s="798"/>
      <c r="M209" s="798"/>
      <c r="N209" s="798"/>
      <c r="O209" s="798"/>
      <c r="P209" s="798"/>
      <c r="Q209" s="798"/>
      <c r="R209" s="798"/>
      <c r="S209" s="798"/>
      <c r="T209" s="798"/>
      <c r="U209" s="798"/>
      <c r="V209" s="798"/>
      <c r="W209" s="798"/>
      <c r="X209" s="798"/>
      <c r="Y209" s="798"/>
      <c r="Z209" s="798"/>
      <c r="AA209" s="798"/>
      <c r="AB209" s="798"/>
      <c r="AC209" s="798"/>
      <c r="AD209" s="798"/>
    </row>
    <row r="210" ht="15.75" customHeight="1">
      <c r="A210" s="798"/>
      <c r="B210" s="798"/>
      <c r="C210" s="798"/>
      <c r="D210" s="798"/>
      <c r="E210" s="798"/>
      <c r="F210" s="798"/>
      <c r="G210" s="798"/>
      <c r="H210" s="798"/>
      <c r="I210" s="798"/>
      <c r="J210" s="798"/>
      <c r="K210" s="798"/>
      <c r="L210" s="798"/>
      <c r="M210" s="798"/>
      <c r="N210" s="798"/>
      <c r="O210" s="798"/>
      <c r="P210" s="798"/>
      <c r="Q210" s="798"/>
      <c r="R210" s="798"/>
      <c r="S210" s="798"/>
      <c r="T210" s="798"/>
      <c r="U210" s="798"/>
      <c r="V210" s="798"/>
      <c r="W210" s="798"/>
      <c r="X210" s="798"/>
      <c r="Y210" s="798"/>
      <c r="Z210" s="798"/>
      <c r="AA210" s="798"/>
      <c r="AB210" s="798"/>
      <c r="AC210" s="798"/>
      <c r="AD210" s="798"/>
    </row>
    <row r="211" ht="15.75" customHeight="1">
      <c r="A211" s="798"/>
      <c r="B211" s="798"/>
      <c r="C211" s="798"/>
      <c r="D211" s="798"/>
      <c r="E211" s="798"/>
      <c r="F211" s="798"/>
      <c r="G211" s="798"/>
      <c r="H211" s="798"/>
      <c r="I211" s="798"/>
      <c r="J211" s="798"/>
      <c r="K211" s="798"/>
      <c r="L211" s="798"/>
      <c r="M211" s="798"/>
      <c r="N211" s="798"/>
      <c r="O211" s="798"/>
      <c r="P211" s="798"/>
      <c r="Q211" s="798"/>
      <c r="R211" s="798"/>
      <c r="S211" s="798"/>
      <c r="T211" s="798"/>
      <c r="U211" s="798"/>
      <c r="V211" s="798"/>
      <c r="W211" s="798"/>
      <c r="X211" s="798"/>
      <c r="Y211" s="798"/>
      <c r="Z211" s="798"/>
      <c r="AA211" s="798"/>
      <c r="AB211" s="798"/>
      <c r="AC211" s="798"/>
      <c r="AD211" s="798"/>
    </row>
    <row r="212" ht="15.75" customHeight="1">
      <c r="A212" s="798"/>
      <c r="B212" s="798"/>
      <c r="C212" s="798"/>
      <c r="D212" s="798"/>
      <c r="E212" s="798"/>
      <c r="F212" s="798"/>
      <c r="G212" s="798"/>
      <c r="H212" s="798"/>
      <c r="I212" s="798"/>
      <c r="J212" s="798"/>
      <c r="K212" s="798"/>
      <c r="L212" s="798"/>
      <c r="M212" s="798"/>
      <c r="N212" s="798"/>
      <c r="O212" s="798"/>
      <c r="P212" s="798"/>
      <c r="Q212" s="798"/>
      <c r="R212" s="798"/>
      <c r="S212" s="798"/>
      <c r="T212" s="798"/>
      <c r="U212" s="798"/>
      <c r="V212" s="798"/>
      <c r="W212" s="798"/>
      <c r="X212" s="798"/>
      <c r="Y212" s="798"/>
      <c r="Z212" s="798"/>
      <c r="AA212" s="798"/>
      <c r="AB212" s="798"/>
      <c r="AC212" s="798"/>
      <c r="AD212" s="798"/>
    </row>
    <row r="213" ht="15.75" customHeight="1">
      <c r="A213" s="798"/>
      <c r="B213" s="798"/>
      <c r="C213" s="798"/>
      <c r="D213" s="798"/>
      <c r="E213" s="798"/>
      <c r="F213" s="798"/>
      <c r="G213" s="798"/>
      <c r="H213" s="798"/>
      <c r="I213" s="798"/>
      <c r="J213" s="798"/>
      <c r="K213" s="798"/>
      <c r="L213" s="798"/>
      <c r="M213" s="798"/>
      <c r="N213" s="798"/>
      <c r="O213" s="798"/>
      <c r="P213" s="798"/>
      <c r="Q213" s="798"/>
      <c r="R213" s="798"/>
      <c r="S213" s="798"/>
      <c r="T213" s="798"/>
      <c r="U213" s="798"/>
      <c r="V213" s="798"/>
      <c r="W213" s="798"/>
      <c r="X213" s="798"/>
      <c r="Y213" s="798"/>
      <c r="Z213" s="798"/>
      <c r="AA213" s="798"/>
      <c r="AB213" s="798"/>
      <c r="AC213" s="798"/>
      <c r="AD213" s="798"/>
    </row>
    <row r="214" ht="15.75" customHeight="1">
      <c r="A214" s="798"/>
      <c r="B214" s="798"/>
      <c r="C214" s="798"/>
      <c r="D214" s="798"/>
      <c r="E214" s="798"/>
      <c r="F214" s="798"/>
      <c r="G214" s="798"/>
      <c r="H214" s="798"/>
      <c r="I214" s="798"/>
      <c r="J214" s="798"/>
      <c r="K214" s="798"/>
      <c r="L214" s="798"/>
      <c r="M214" s="798"/>
      <c r="N214" s="798"/>
      <c r="O214" s="798"/>
      <c r="P214" s="798"/>
      <c r="Q214" s="798"/>
      <c r="R214" s="798"/>
      <c r="S214" s="798"/>
      <c r="T214" s="798"/>
      <c r="U214" s="798"/>
      <c r="V214" s="798"/>
      <c r="W214" s="798"/>
      <c r="X214" s="798"/>
      <c r="Y214" s="798"/>
      <c r="Z214" s="798"/>
      <c r="AA214" s="798"/>
      <c r="AB214" s="798"/>
      <c r="AC214" s="798"/>
      <c r="AD214" s="798"/>
    </row>
    <row r="215" ht="15.75" customHeight="1">
      <c r="A215" s="798"/>
      <c r="B215" s="798"/>
      <c r="C215" s="798"/>
      <c r="D215" s="798"/>
      <c r="E215" s="798"/>
      <c r="F215" s="798"/>
      <c r="G215" s="798"/>
      <c r="H215" s="798"/>
      <c r="I215" s="798"/>
      <c r="J215" s="798"/>
      <c r="K215" s="798"/>
      <c r="L215" s="798"/>
      <c r="M215" s="798"/>
      <c r="N215" s="798"/>
      <c r="O215" s="798"/>
      <c r="P215" s="798"/>
      <c r="Q215" s="798"/>
      <c r="R215" s="798"/>
      <c r="S215" s="798"/>
      <c r="T215" s="798"/>
      <c r="U215" s="798"/>
      <c r="V215" s="798"/>
      <c r="W215" s="798"/>
      <c r="X215" s="798"/>
      <c r="Y215" s="798"/>
      <c r="Z215" s="798"/>
      <c r="AA215" s="798"/>
      <c r="AB215" s="798"/>
      <c r="AC215" s="798"/>
      <c r="AD215" s="798"/>
    </row>
    <row r="216" ht="15.75" customHeight="1">
      <c r="A216" s="798"/>
      <c r="B216" s="798"/>
      <c r="C216" s="798"/>
      <c r="D216" s="798"/>
      <c r="E216" s="798"/>
      <c r="F216" s="798"/>
      <c r="G216" s="798"/>
      <c r="H216" s="798"/>
      <c r="I216" s="798"/>
      <c r="J216" s="798"/>
      <c r="K216" s="798"/>
      <c r="L216" s="798"/>
      <c r="M216" s="798"/>
      <c r="N216" s="798"/>
      <c r="O216" s="798"/>
      <c r="P216" s="798"/>
      <c r="Q216" s="798"/>
      <c r="R216" s="798"/>
      <c r="S216" s="798"/>
      <c r="T216" s="798"/>
      <c r="U216" s="798"/>
      <c r="V216" s="798"/>
      <c r="W216" s="798"/>
      <c r="X216" s="798"/>
      <c r="Y216" s="798"/>
      <c r="Z216" s="798"/>
      <c r="AA216" s="798"/>
      <c r="AB216" s="798"/>
      <c r="AC216" s="798"/>
      <c r="AD216" s="798"/>
    </row>
    <row r="217" ht="15.75" customHeight="1">
      <c r="A217" s="798"/>
      <c r="B217" s="798"/>
      <c r="C217" s="798"/>
      <c r="D217" s="798"/>
      <c r="E217" s="798"/>
      <c r="F217" s="798"/>
      <c r="G217" s="798"/>
      <c r="H217" s="798"/>
      <c r="I217" s="798"/>
      <c r="J217" s="798"/>
      <c r="K217" s="798"/>
      <c r="L217" s="798"/>
      <c r="M217" s="798"/>
      <c r="N217" s="798"/>
      <c r="O217" s="798"/>
      <c r="P217" s="798"/>
      <c r="Q217" s="798"/>
      <c r="R217" s="798"/>
      <c r="S217" s="798"/>
      <c r="T217" s="798"/>
      <c r="U217" s="798"/>
      <c r="V217" s="798"/>
      <c r="W217" s="798"/>
      <c r="X217" s="798"/>
      <c r="Y217" s="798"/>
      <c r="Z217" s="798"/>
      <c r="AA217" s="798"/>
      <c r="AB217" s="798"/>
      <c r="AC217" s="798"/>
      <c r="AD217" s="798"/>
    </row>
    <row r="218" ht="15.75" customHeight="1">
      <c r="A218" s="798"/>
      <c r="B218" s="798"/>
      <c r="C218" s="798"/>
      <c r="D218" s="798"/>
      <c r="E218" s="798"/>
      <c r="F218" s="798"/>
      <c r="G218" s="798"/>
      <c r="H218" s="798"/>
      <c r="I218" s="798"/>
      <c r="J218" s="798"/>
      <c r="K218" s="798"/>
      <c r="L218" s="798"/>
      <c r="M218" s="798"/>
      <c r="N218" s="798"/>
      <c r="O218" s="798"/>
      <c r="P218" s="798"/>
      <c r="Q218" s="798"/>
      <c r="R218" s="798"/>
      <c r="S218" s="798"/>
      <c r="T218" s="798"/>
      <c r="U218" s="798"/>
      <c r="V218" s="798"/>
      <c r="W218" s="798"/>
      <c r="X218" s="798"/>
      <c r="Y218" s="798"/>
      <c r="Z218" s="798"/>
      <c r="AA218" s="798"/>
      <c r="AB218" s="798"/>
      <c r="AC218" s="798"/>
      <c r="AD218" s="798"/>
    </row>
    <row r="219" ht="15.75" customHeight="1">
      <c r="A219" s="798"/>
      <c r="B219" s="798"/>
      <c r="C219" s="798"/>
      <c r="D219" s="798"/>
      <c r="E219" s="798"/>
      <c r="F219" s="798"/>
      <c r="G219" s="798"/>
      <c r="H219" s="798"/>
      <c r="I219" s="798"/>
      <c r="J219" s="798"/>
      <c r="K219" s="798"/>
      <c r="L219" s="798"/>
      <c r="M219" s="798"/>
      <c r="N219" s="798"/>
      <c r="O219" s="798"/>
      <c r="P219" s="798"/>
      <c r="Q219" s="798"/>
      <c r="R219" s="798"/>
      <c r="S219" s="798"/>
      <c r="T219" s="798"/>
      <c r="U219" s="798"/>
      <c r="V219" s="798"/>
      <c r="W219" s="798"/>
      <c r="X219" s="798"/>
      <c r="Y219" s="798"/>
      <c r="Z219" s="798"/>
      <c r="AA219" s="798"/>
      <c r="AB219" s="798"/>
      <c r="AC219" s="798"/>
      <c r="AD219" s="798"/>
    </row>
    <row r="220" ht="15.75" customHeight="1">
      <c r="A220" s="798"/>
      <c r="B220" s="798"/>
      <c r="C220" s="798"/>
      <c r="D220" s="798"/>
      <c r="E220" s="798"/>
      <c r="F220" s="798"/>
      <c r="G220" s="798"/>
      <c r="H220" s="798"/>
      <c r="I220" s="798"/>
      <c r="J220" s="798"/>
      <c r="K220" s="798"/>
      <c r="L220" s="798"/>
      <c r="M220" s="798"/>
      <c r="N220" s="798"/>
      <c r="O220" s="798"/>
      <c r="P220" s="798"/>
      <c r="Q220" s="798"/>
      <c r="R220" s="798"/>
      <c r="S220" s="798"/>
      <c r="T220" s="798"/>
      <c r="U220" s="798"/>
      <c r="V220" s="798"/>
      <c r="W220" s="798"/>
      <c r="X220" s="798"/>
      <c r="Y220" s="798"/>
      <c r="Z220" s="798"/>
      <c r="AA220" s="798"/>
      <c r="AB220" s="798"/>
      <c r="AC220" s="798"/>
      <c r="AD220" s="798"/>
    </row>
    <row r="221" ht="15.75" customHeight="1">
      <c r="A221" s="798"/>
      <c r="B221" s="798"/>
      <c r="C221" s="798"/>
      <c r="D221" s="798"/>
      <c r="E221" s="798"/>
      <c r="F221" s="798"/>
      <c r="G221" s="798"/>
      <c r="H221" s="798"/>
      <c r="I221" s="798"/>
      <c r="J221" s="798"/>
      <c r="K221" s="798"/>
      <c r="L221" s="798"/>
      <c r="M221" s="798"/>
      <c r="N221" s="798"/>
      <c r="O221" s="798"/>
      <c r="P221" s="798"/>
      <c r="Q221" s="798"/>
      <c r="R221" s="798"/>
      <c r="S221" s="798"/>
      <c r="T221" s="798"/>
      <c r="U221" s="798"/>
      <c r="V221" s="798"/>
      <c r="W221" s="798"/>
      <c r="X221" s="798"/>
      <c r="Y221" s="798"/>
      <c r="Z221" s="798"/>
      <c r="AA221" s="798"/>
      <c r="AB221" s="798"/>
      <c r="AC221" s="798"/>
      <c r="AD221" s="798"/>
    </row>
    <row r="222" ht="15.75" customHeight="1">
      <c r="A222" s="798"/>
      <c r="B222" s="798"/>
      <c r="C222" s="798"/>
      <c r="D222" s="798"/>
      <c r="E222" s="798"/>
      <c r="F222" s="798"/>
      <c r="G222" s="798"/>
      <c r="H222" s="798"/>
      <c r="I222" s="798"/>
      <c r="J222" s="798"/>
      <c r="K222" s="798"/>
      <c r="L222" s="798"/>
      <c r="M222" s="798"/>
      <c r="N222" s="798"/>
      <c r="O222" s="798"/>
      <c r="P222" s="798"/>
      <c r="Q222" s="798"/>
      <c r="R222" s="798"/>
      <c r="S222" s="798"/>
      <c r="T222" s="798"/>
      <c r="U222" s="798"/>
      <c r="V222" s="798"/>
      <c r="W222" s="798"/>
      <c r="X222" s="798"/>
      <c r="Y222" s="798"/>
      <c r="Z222" s="798"/>
      <c r="AA222" s="798"/>
      <c r="AB222" s="798"/>
      <c r="AC222" s="798"/>
      <c r="AD222" s="798"/>
    </row>
    <row r="223" ht="15.75" customHeight="1">
      <c r="A223" s="798"/>
      <c r="B223" s="798"/>
      <c r="C223" s="798"/>
      <c r="D223" s="798"/>
      <c r="E223" s="798"/>
      <c r="F223" s="798"/>
      <c r="G223" s="798"/>
      <c r="H223" s="798"/>
      <c r="I223" s="798"/>
      <c r="J223" s="798"/>
      <c r="K223" s="798"/>
      <c r="L223" s="798"/>
      <c r="M223" s="798"/>
      <c r="N223" s="798"/>
      <c r="O223" s="798"/>
      <c r="P223" s="798"/>
      <c r="Q223" s="798"/>
      <c r="R223" s="798"/>
      <c r="S223" s="798"/>
      <c r="T223" s="798"/>
      <c r="U223" s="798"/>
      <c r="V223" s="798"/>
      <c r="W223" s="798"/>
      <c r="X223" s="798"/>
      <c r="Y223" s="798"/>
      <c r="Z223" s="798"/>
      <c r="AA223" s="798"/>
      <c r="AB223" s="798"/>
      <c r="AC223" s="798"/>
      <c r="AD223" s="798"/>
    </row>
    <row r="224" ht="15.75" customHeight="1">
      <c r="A224" s="798"/>
      <c r="B224" s="798"/>
      <c r="C224" s="798"/>
      <c r="D224" s="798"/>
      <c r="E224" s="798"/>
      <c r="F224" s="798"/>
      <c r="G224" s="798"/>
      <c r="H224" s="798"/>
      <c r="I224" s="798"/>
      <c r="J224" s="798"/>
      <c r="K224" s="798"/>
      <c r="L224" s="798"/>
      <c r="M224" s="798"/>
      <c r="N224" s="798"/>
      <c r="O224" s="798"/>
      <c r="P224" s="798"/>
      <c r="Q224" s="798"/>
      <c r="R224" s="798"/>
      <c r="S224" s="798"/>
      <c r="T224" s="798"/>
      <c r="U224" s="798"/>
      <c r="V224" s="798"/>
      <c r="W224" s="798"/>
      <c r="X224" s="798"/>
      <c r="Y224" s="798"/>
      <c r="Z224" s="798"/>
      <c r="AA224" s="798"/>
      <c r="AB224" s="798"/>
      <c r="AC224" s="798"/>
      <c r="AD224" s="798"/>
    </row>
    <row r="225" ht="15.75" customHeight="1">
      <c r="A225" s="798"/>
      <c r="B225" s="798"/>
      <c r="C225" s="798"/>
      <c r="D225" s="798"/>
      <c r="E225" s="798"/>
      <c r="F225" s="798"/>
      <c r="G225" s="798"/>
      <c r="H225" s="798"/>
      <c r="I225" s="798"/>
      <c r="J225" s="798"/>
      <c r="K225" s="798"/>
      <c r="L225" s="798"/>
      <c r="M225" s="798"/>
      <c r="N225" s="798"/>
      <c r="O225" s="798"/>
      <c r="P225" s="798"/>
      <c r="Q225" s="798"/>
      <c r="R225" s="798"/>
      <c r="S225" s="798"/>
      <c r="T225" s="798"/>
      <c r="U225" s="798"/>
      <c r="V225" s="798"/>
      <c r="W225" s="798"/>
      <c r="X225" s="798"/>
      <c r="Y225" s="798"/>
      <c r="Z225" s="798"/>
      <c r="AA225" s="798"/>
      <c r="AB225" s="798"/>
      <c r="AC225" s="798"/>
      <c r="AD225" s="798"/>
    </row>
    <row r="226" ht="15.75" customHeight="1">
      <c r="A226" s="798"/>
      <c r="B226" s="798"/>
      <c r="C226" s="798"/>
      <c r="D226" s="798"/>
      <c r="E226" s="798"/>
      <c r="F226" s="798"/>
      <c r="G226" s="798"/>
      <c r="H226" s="798"/>
      <c r="I226" s="798"/>
      <c r="J226" s="798"/>
      <c r="K226" s="798"/>
      <c r="L226" s="798"/>
      <c r="M226" s="798"/>
      <c r="N226" s="798"/>
      <c r="O226" s="798"/>
      <c r="P226" s="798"/>
      <c r="Q226" s="798"/>
      <c r="R226" s="798"/>
      <c r="S226" s="798"/>
      <c r="T226" s="798"/>
      <c r="U226" s="798"/>
      <c r="V226" s="798"/>
      <c r="W226" s="798"/>
      <c r="X226" s="798"/>
      <c r="Y226" s="798"/>
      <c r="Z226" s="798"/>
      <c r="AA226" s="798"/>
      <c r="AB226" s="798"/>
      <c r="AC226" s="798"/>
      <c r="AD226" s="798"/>
    </row>
    <row r="227" ht="15.75" customHeight="1">
      <c r="A227" s="798"/>
      <c r="B227" s="798"/>
      <c r="C227" s="798"/>
      <c r="D227" s="798"/>
      <c r="E227" s="798"/>
      <c r="F227" s="798"/>
      <c r="G227" s="798"/>
      <c r="H227" s="798"/>
      <c r="I227" s="798"/>
      <c r="J227" s="798"/>
      <c r="K227" s="798"/>
      <c r="L227" s="798"/>
      <c r="M227" s="798"/>
      <c r="N227" s="798"/>
      <c r="O227" s="798"/>
      <c r="P227" s="798"/>
      <c r="Q227" s="798"/>
      <c r="R227" s="798"/>
      <c r="S227" s="798"/>
      <c r="T227" s="798"/>
      <c r="U227" s="798"/>
      <c r="V227" s="798"/>
      <c r="W227" s="798"/>
      <c r="X227" s="798"/>
      <c r="Y227" s="798"/>
      <c r="Z227" s="798"/>
      <c r="AA227" s="798"/>
      <c r="AB227" s="798"/>
      <c r="AC227" s="798"/>
      <c r="AD227" s="798"/>
    </row>
    <row r="228" ht="15.75" customHeight="1">
      <c r="A228" s="798"/>
      <c r="B228" s="798"/>
      <c r="C228" s="798"/>
      <c r="D228" s="798"/>
      <c r="E228" s="798"/>
      <c r="F228" s="798"/>
      <c r="G228" s="798"/>
      <c r="H228" s="798"/>
      <c r="I228" s="798"/>
      <c r="J228" s="798"/>
      <c r="K228" s="798"/>
      <c r="L228" s="798"/>
      <c r="M228" s="798"/>
      <c r="N228" s="798"/>
      <c r="O228" s="798"/>
      <c r="P228" s="798"/>
      <c r="Q228" s="798"/>
      <c r="R228" s="798"/>
      <c r="S228" s="798"/>
      <c r="T228" s="798"/>
      <c r="U228" s="798"/>
      <c r="V228" s="798"/>
      <c r="W228" s="798"/>
      <c r="X228" s="798"/>
      <c r="Y228" s="798"/>
      <c r="Z228" s="798"/>
      <c r="AA228" s="798"/>
      <c r="AB228" s="798"/>
      <c r="AC228" s="798"/>
      <c r="AD228" s="798"/>
    </row>
    <row r="229" ht="15.75" customHeight="1">
      <c r="A229" s="798"/>
      <c r="B229" s="798"/>
      <c r="C229" s="798"/>
      <c r="D229" s="798"/>
      <c r="E229" s="798"/>
      <c r="F229" s="798"/>
      <c r="G229" s="798"/>
      <c r="H229" s="798"/>
      <c r="I229" s="798"/>
      <c r="J229" s="798"/>
      <c r="K229" s="798"/>
      <c r="L229" s="798"/>
      <c r="M229" s="798"/>
      <c r="N229" s="798"/>
      <c r="O229" s="798"/>
      <c r="P229" s="798"/>
      <c r="Q229" s="798"/>
      <c r="R229" s="798"/>
      <c r="S229" s="798"/>
      <c r="T229" s="798"/>
      <c r="U229" s="798"/>
      <c r="V229" s="798"/>
      <c r="W229" s="798"/>
      <c r="X229" s="798"/>
      <c r="Y229" s="798"/>
      <c r="Z229" s="798"/>
      <c r="AA229" s="798"/>
      <c r="AB229" s="798"/>
      <c r="AC229" s="798"/>
      <c r="AD229" s="798"/>
    </row>
    <row r="230" ht="15.75" customHeight="1">
      <c r="A230" s="798"/>
      <c r="B230" s="798"/>
      <c r="C230" s="798"/>
      <c r="D230" s="798"/>
      <c r="E230" s="798"/>
      <c r="F230" s="798"/>
      <c r="G230" s="798"/>
      <c r="H230" s="798"/>
      <c r="I230" s="798"/>
      <c r="J230" s="798"/>
      <c r="K230" s="798"/>
      <c r="L230" s="798"/>
      <c r="M230" s="798"/>
      <c r="N230" s="798"/>
      <c r="O230" s="798"/>
      <c r="P230" s="798"/>
      <c r="Q230" s="798"/>
      <c r="R230" s="798"/>
      <c r="S230" s="798"/>
      <c r="T230" s="798"/>
      <c r="U230" s="798"/>
      <c r="V230" s="798"/>
      <c r="W230" s="798"/>
      <c r="X230" s="798"/>
      <c r="Y230" s="798"/>
      <c r="Z230" s="798"/>
      <c r="AA230" s="798"/>
      <c r="AB230" s="798"/>
      <c r="AC230" s="798"/>
      <c r="AD230" s="798"/>
    </row>
    <row r="231" ht="15.75" customHeight="1">
      <c r="A231" s="798"/>
      <c r="B231" s="798"/>
      <c r="C231" s="798"/>
      <c r="D231" s="798"/>
      <c r="E231" s="798"/>
      <c r="F231" s="798"/>
      <c r="G231" s="798"/>
      <c r="H231" s="798"/>
      <c r="I231" s="798"/>
      <c r="J231" s="798"/>
      <c r="K231" s="798"/>
      <c r="L231" s="798"/>
      <c r="M231" s="798"/>
      <c r="N231" s="798"/>
      <c r="O231" s="798"/>
      <c r="P231" s="798"/>
      <c r="Q231" s="798"/>
      <c r="R231" s="798"/>
      <c r="S231" s="798"/>
      <c r="T231" s="798"/>
      <c r="U231" s="798"/>
      <c r="V231" s="798"/>
      <c r="W231" s="798"/>
      <c r="X231" s="798"/>
      <c r="Y231" s="798"/>
      <c r="Z231" s="798"/>
      <c r="AA231" s="798"/>
      <c r="AB231" s="798"/>
      <c r="AC231" s="798"/>
      <c r="AD231" s="798"/>
    </row>
    <row r="232" ht="15.75" customHeight="1">
      <c r="A232" s="798"/>
      <c r="B232" s="798"/>
      <c r="C232" s="798"/>
      <c r="D232" s="798"/>
      <c r="E232" s="798"/>
      <c r="F232" s="798"/>
      <c r="G232" s="798"/>
      <c r="H232" s="798"/>
      <c r="I232" s="798"/>
      <c r="J232" s="798"/>
      <c r="K232" s="798"/>
      <c r="L232" s="798"/>
      <c r="M232" s="798"/>
      <c r="N232" s="798"/>
      <c r="O232" s="798"/>
      <c r="P232" s="798"/>
      <c r="Q232" s="798"/>
      <c r="R232" s="798"/>
      <c r="S232" s="798"/>
      <c r="T232" s="798"/>
      <c r="U232" s="798"/>
      <c r="V232" s="798"/>
      <c r="W232" s="798"/>
      <c r="X232" s="798"/>
      <c r="Y232" s="798"/>
      <c r="Z232" s="798"/>
      <c r="AA232" s="798"/>
      <c r="AB232" s="798"/>
      <c r="AC232" s="798"/>
      <c r="AD232" s="798"/>
    </row>
    <row r="233" ht="15.75" customHeight="1">
      <c r="A233" s="798"/>
      <c r="B233" s="798"/>
      <c r="C233" s="798"/>
      <c r="D233" s="798"/>
      <c r="E233" s="798"/>
      <c r="F233" s="798"/>
      <c r="G233" s="798"/>
      <c r="H233" s="798"/>
      <c r="I233" s="798"/>
      <c r="J233" s="798"/>
      <c r="K233" s="798"/>
      <c r="L233" s="798"/>
      <c r="M233" s="798"/>
      <c r="N233" s="798"/>
      <c r="O233" s="798"/>
      <c r="P233" s="798"/>
      <c r="Q233" s="798"/>
      <c r="R233" s="798"/>
      <c r="S233" s="798"/>
      <c r="T233" s="798"/>
      <c r="U233" s="798"/>
      <c r="V233" s="798"/>
      <c r="W233" s="798"/>
      <c r="X233" s="798"/>
      <c r="Y233" s="798"/>
      <c r="Z233" s="798"/>
      <c r="AA233" s="798"/>
      <c r="AB233" s="798"/>
      <c r="AC233" s="798"/>
      <c r="AD233" s="798"/>
    </row>
    <row r="234" ht="15.75" customHeight="1">
      <c r="A234" s="798"/>
      <c r="B234" s="798"/>
      <c r="C234" s="798"/>
      <c r="D234" s="798"/>
      <c r="E234" s="798"/>
      <c r="F234" s="798"/>
      <c r="G234" s="798"/>
      <c r="H234" s="798"/>
      <c r="I234" s="798"/>
      <c r="J234" s="798"/>
      <c r="K234" s="798"/>
      <c r="L234" s="798"/>
      <c r="M234" s="798"/>
      <c r="N234" s="798"/>
      <c r="O234" s="798"/>
      <c r="P234" s="798"/>
      <c r="Q234" s="798"/>
      <c r="R234" s="798"/>
      <c r="S234" s="798"/>
      <c r="T234" s="798"/>
      <c r="U234" s="798"/>
      <c r="V234" s="798"/>
      <c r="W234" s="798"/>
      <c r="X234" s="798"/>
      <c r="Y234" s="798"/>
      <c r="Z234" s="798"/>
      <c r="AA234" s="798"/>
      <c r="AB234" s="798"/>
      <c r="AC234" s="798"/>
      <c r="AD234" s="798"/>
    </row>
    <row r="235" ht="15.75" customHeight="1">
      <c r="A235" s="798"/>
      <c r="B235" s="798"/>
      <c r="C235" s="798"/>
      <c r="D235" s="798"/>
      <c r="E235" s="798"/>
      <c r="F235" s="798"/>
      <c r="G235" s="798"/>
      <c r="H235" s="798"/>
      <c r="I235" s="798"/>
      <c r="J235" s="798"/>
      <c r="K235" s="798"/>
      <c r="L235" s="798"/>
      <c r="M235" s="798"/>
      <c r="N235" s="798"/>
      <c r="O235" s="798"/>
      <c r="P235" s="798"/>
      <c r="Q235" s="798"/>
      <c r="R235" s="798"/>
      <c r="S235" s="798"/>
      <c r="T235" s="798"/>
      <c r="U235" s="798"/>
      <c r="V235" s="798"/>
      <c r="W235" s="798"/>
      <c r="X235" s="798"/>
      <c r="Y235" s="798"/>
      <c r="Z235" s="798"/>
      <c r="AA235" s="798"/>
      <c r="AB235" s="798"/>
      <c r="AC235" s="798"/>
      <c r="AD235" s="798"/>
    </row>
    <row r="236" ht="15.75" customHeight="1">
      <c r="A236" s="798"/>
      <c r="B236" s="798"/>
      <c r="C236" s="798"/>
      <c r="D236" s="798"/>
      <c r="E236" s="798"/>
      <c r="F236" s="798"/>
      <c r="G236" s="798"/>
      <c r="H236" s="798"/>
      <c r="I236" s="798"/>
      <c r="J236" s="798"/>
      <c r="K236" s="798"/>
      <c r="L236" s="798"/>
      <c r="M236" s="798"/>
      <c r="N236" s="798"/>
      <c r="O236" s="798"/>
      <c r="P236" s="798"/>
      <c r="Q236" s="798"/>
      <c r="R236" s="798"/>
      <c r="S236" s="798"/>
      <c r="T236" s="798"/>
      <c r="U236" s="798"/>
      <c r="V236" s="798"/>
      <c r="W236" s="798"/>
      <c r="X236" s="798"/>
      <c r="Y236" s="798"/>
      <c r="Z236" s="798"/>
      <c r="AA236" s="798"/>
      <c r="AB236" s="798"/>
      <c r="AC236" s="798"/>
      <c r="AD236" s="798"/>
    </row>
    <row r="237" ht="15.75" customHeight="1">
      <c r="A237" s="798"/>
      <c r="B237" s="798"/>
      <c r="C237" s="798"/>
      <c r="D237" s="798"/>
      <c r="E237" s="798"/>
      <c r="F237" s="798"/>
      <c r="G237" s="798"/>
      <c r="H237" s="798"/>
      <c r="I237" s="798"/>
      <c r="J237" s="798"/>
      <c r="K237" s="798"/>
      <c r="L237" s="798"/>
      <c r="M237" s="798"/>
      <c r="N237" s="798"/>
      <c r="O237" s="798"/>
      <c r="P237" s="798"/>
      <c r="Q237" s="798"/>
      <c r="R237" s="798"/>
      <c r="S237" s="798"/>
      <c r="T237" s="798"/>
      <c r="U237" s="798"/>
      <c r="V237" s="798"/>
      <c r="W237" s="798"/>
      <c r="X237" s="798"/>
      <c r="Y237" s="798"/>
      <c r="Z237" s="798"/>
      <c r="AA237" s="798"/>
      <c r="AB237" s="798"/>
      <c r="AC237" s="798"/>
      <c r="AD237" s="798"/>
    </row>
    <row r="238" ht="15.75" customHeight="1">
      <c r="A238" s="798"/>
      <c r="B238" s="798"/>
      <c r="C238" s="798"/>
      <c r="D238" s="798"/>
      <c r="E238" s="798"/>
      <c r="F238" s="798"/>
      <c r="G238" s="798"/>
      <c r="H238" s="798"/>
      <c r="I238" s="798"/>
      <c r="J238" s="798"/>
      <c r="K238" s="798"/>
      <c r="L238" s="798"/>
      <c r="M238" s="798"/>
      <c r="N238" s="798"/>
      <c r="O238" s="798"/>
      <c r="P238" s="798"/>
      <c r="Q238" s="798"/>
      <c r="R238" s="798"/>
      <c r="S238" s="798"/>
      <c r="T238" s="798"/>
      <c r="U238" s="798"/>
      <c r="V238" s="798"/>
      <c r="W238" s="798"/>
      <c r="X238" s="798"/>
      <c r="Y238" s="798"/>
      <c r="Z238" s="798"/>
      <c r="AA238" s="798"/>
      <c r="AB238" s="798"/>
      <c r="AC238" s="798"/>
      <c r="AD238" s="798"/>
    </row>
    <row r="239" ht="15.75" customHeight="1">
      <c r="A239" s="798"/>
      <c r="B239" s="798"/>
      <c r="C239" s="798"/>
      <c r="D239" s="798"/>
      <c r="E239" s="798"/>
      <c r="F239" s="798"/>
      <c r="G239" s="798"/>
      <c r="H239" s="798"/>
      <c r="I239" s="798"/>
      <c r="J239" s="798"/>
      <c r="K239" s="798"/>
      <c r="L239" s="798"/>
      <c r="M239" s="798"/>
      <c r="N239" s="798"/>
      <c r="O239" s="798"/>
      <c r="P239" s="798"/>
      <c r="Q239" s="798"/>
      <c r="R239" s="798"/>
      <c r="S239" s="798"/>
      <c r="T239" s="798"/>
      <c r="U239" s="798"/>
      <c r="V239" s="798"/>
      <c r="W239" s="798"/>
      <c r="X239" s="798"/>
      <c r="Y239" s="798"/>
      <c r="Z239" s="798"/>
      <c r="AA239" s="798"/>
      <c r="AB239" s="798"/>
      <c r="AC239" s="798"/>
      <c r="AD239" s="798"/>
    </row>
    <row r="240" ht="15.75" customHeight="1">
      <c r="A240" s="798"/>
      <c r="B240" s="798"/>
      <c r="C240" s="798"/>
      <c r="D240" s="798"/>
      <c r="E240" s="798"/>
      <c r="F240" s="798"/>
      <c r="G240" s="798"/>
      <c r="H240" s="798"/>
      <c r="I240" s="798"/>
      <c r="J240" s="798"/>
      <c r="K240" s="798"/>
      <c r="L240" s="798"/>
      <c r="M240" s="798"/>
      <c r="N240" s="798"/>
      <c r="O240" s="798"/>
      <c r="P240" s="798"/>
      <c r="Q240" s="798"/>
      <c r="R240" s="798"/>
      <c r="S240" s="798"/>
      <c r="T240" s="798"/>
      <c r="U240" s="798"/>
      <c r="V240" s="798"/>
      <c r="W240" s="798"/>
      <c r="X240" s="798"/>
      <c r="Y240" s="798"/>
      <c r="Z240" s="798"/>
      <c r="AA240" s="798"/>
      <c r="AB240" s="798"/>
      <c r="AC240" s="798"/>
      <c r="AD240" s="798"/>
    </row>
    <row r="241" ht="15.75" customHeight="1">
      <c r="A241" s="798"/>
      <c r="B241" s="798"/>
      <c r="C241" s="798"/>
      <c r="D241" s="798"/>
      <c r="E241" s="798"/>
      <c r="F241" s="798"/>
      <c r="G241" s="798"/>
      <c r="H241" s="798"/>
      <c r="I241" s="798"/>
      <c r="J241" s="798"/>
      <c r="K241" s="798"/>
      <c r="L241" s="798"/>
      <c r="M241" s="798"/>
      <c r="N241" s="798"/>
      <c r="O241" s="798"/>
      <c r="P241" s="798"/>
      <c r="Q241" s="798"/>
      <c r="R241" s="798"/>
      <c r="S241" s="798"/>
      <c r="T241" s="798"/>
      <c r="U241" s="798"/>
      <c r="V241" s="798"/>
      <c r="W241" s="798"/>
      <c r="X241" s="798"/>
      <c r="Y241" s="798"/>
      <c r="Z241" s="798"/>
      <c r="AA241" s="798"/>
      <c r="AB241" s="798"/>
      <c r="AC241" s="798"/>
      <c r="AD241" s="798"/>
    </row>
    <row r="242" ht="15.75" customHeight="1">
      <c r="A242" s="798"/>
      <c r="B242" s="798"/>
      <c r="C242" s="798"/>
      <c r="D242" s="798"/>
      <c r="E242" s="798"/>
      <c r="F242" s="798"/>
      <c r="G242" s="798"/>
      <c r="H242" s="798"/>
      <c r="I242" s="798"/>
      <c r="J242" s="798"/>
      <c r="K242" s="798"/>
      <c r="L242" s="798"/>
      <c r="M242" s="798"/>
      <c r="N242" s="798"/>
      <c r="O242" s="798"/>
      <c r="P242" s="798"/>
      <c r="Q242" s="798"/>
      <c r="R242" s="798"/>
      <c r="S242" s="798"/>
      <c r="T242" s="798"/>
      <c r="U242" s="798"/>
      <c r="V242" s="798"/>
      <c r="W242" s="798"/>
      <c r="X242" s="798"/>
      <c r="Y242" s="798"/>
      <c r="Z242" s="798"/>
      <c r="AA242" s="798"/>
      <c r="AB242" s="798"/>
      <c r="AC242" s="798"/>
      <c r="AD242" s="798"/>
    </row>
    <row r="243" ht="15.75" customHeight="1">
      <c r="A243" s="798"/>
      <c r="B243" s="798"/>
      <c r="C243" s="798"/>
      <c r="D243" s="798"/>
      <c r="E243" s="798"/>
      <c r="F243" s="798"/>
      <c r="G243" s="798"/>
      <c r="H243" s="798"/>
      <c r="I243" s="798"/>
      <c r="J243" s="798"/>
      <c r="K243" s="798"/>
      <c r="L243" s="798"/>
      <c r="M243" s="798"/>
      <c r="N243" s="798"/>
      <c r="O243" s="798"/>
      <c r="P243" s="798"/>
      <c r="Q243" s="798"/>
      <c r="R243" s="798"/>
      <c r="S243" s="798"/>
      <c r="T243" s="798"/>
      <c r="U243" s="798"/>
      <c r="V243" s="798"/>
      <c r="W243" s="798"/>
      <c r="X243" s="798"/>
      <c r="Y243" s="798"/>
      <c r="Z243" s="798"/>
      <c r="AA243" s="798"/>
      <c r="AB243" s="798"/>
      <c r="AC243" s="798"/>
      <c r="AD243" s="798"/>
    </row>
    <row r="244" ht="15.75" customHeight="1">
      <c r="A244" s="798"/>
      <c r="B244" s="798"/>
      <c r="C244" s="798"/>
      <c r="D244" s="798"/>
      <c r="E244" s="798"/>
      <c r="F244" s="798"/>
      <c r="G244" s="798"/>
      <c r="H244" s="798"/>
      <c r="I244" s="798"/>
      <c r="J244" s="798"/>
      <c r="K244" s="798"/>
      <c r="L244" s="798"/>
      <c r="M244" s="798"/>
      <c r="N244" s="798"/>
      <c r="O244" s="798"/>
      <c r="P244" s="798"/>
      <c r="Q244" s="798"/>
      <c r="R244" s="798"/>
      <c r="S244" s="798"/>
      <c r="T244" s="798"/>
      <c r="U244" s="798"/>
      <c r="V244" s="798"/>
      <c r="W244" s="798"/>
      <c r="X244" s="798"/>
      <c r="Y244" s="798"/>
      <c r="Z244" s="798"/>
      <c r="AA244" s="798"/>
      <c r="AB244" s="798"/>
      <c r="AC244" s="798"/>
      <c r="AD244" s="798"/>
    </row>
    <row r="245" ht="15.75" customHeight="1">
      <c r="A245" s="798"/>
      <c r="B245" s="798"/>
      <c r="C245" s="798"/>
      <c r="D245" s="798"/>
      <c r="E245" s="798"/>
      <c r="F245" s="798"/>
      <c r="G245" s="798"/>
      <c r="H245" s="798"/>
      <c r="I245" s="798"/>
      <c r="J245" s="798"/>
      <c r="K245" s="798"/>
      <c r="L245" s="798"/>
      <c r="M245" s="798"/>
      <c r="N245" s="798"/>
      <c r="O245" s="798"/>
      <c r="P245" s="798"/>
      <c r="Q245" s="798"/>
      <c r="R245" s="798"/>
      <c r="S245" s="798"/>
      <c r="T245" s="798"/>
      <c r="U245" s="798"/>
      <c r="V245" s="798"/>
      <c r="W245" s="798"/>
      <c r="X245" s="798"/>
      <c r="Y245" s="798"/>
      <c r="Z245" s="798"/>
      <c r="AA245" s="798"/>
      <c r="AB245" s="798"/>
      <c r="AC245" s="798"/>
      <c r="AD245" s="798"/>
    </row>
    <row r="246" ht="15.75" customHeight="1">
      <c r="A246" s="798"/>
      <c r="B246" s="798"/>
      <c r="C246" s="798"/>
      <c r="D246" s="798"/>
      <c r="E246" s="798"/>
      <c r="F246" s="798"/>
      <c r="G246" s="798"/>
      <c r="H246" s="798"/>
      <c r="I246" s="798"/>
      <c r="J246" s="798"/>
      <c r="K246" s="798"/>
      <c r="L246" s="798"/>
      <c r="M246" s="798"/>
      <c r="N246" s="798"/>
      <c r="O246" s="798"/>
      <c r="P246" s="798"/>
      <c r="Q246" s="798"/>
      <c r="R246" s="798"/>
      <c r="S246" s="798"/>
      <c r="T246" s="798"/>
      <c r="U246" s="798"/>
      <c r="V246" s="798"/>
      <c r="W246" s="798"/>
      <c r="X246" s="798"/>
      <c r="Y246" s="798"/>
      <c r="Z246" s="798"/>
      <c r="AA246" s="798"/>
      <c r="AB246" s="798"/>
      <c r="AC246" s="798"/>
      <c r="AD246" s="798"/>
    </row>
    <row r="247" ht="15.75" customHeight="1">
      <c r="A247" s="798"/>
      <c r="B247" s="798"/>
      <c r="C247" s="798"/>
      <c r="D247" s="798"/>
      <c r="E247" s="798"/>
      <c r="F247" s="798"/>
      <c r="G247" s="798"/>
      <c r="H247" s="798"/>
      <c r="I247" s="798"/>
      <c r="J247" s="798"/>
      <c r="K247" s="798"/>
      <c r="L247" s="798"/>
      <c r="M247" s="798"/>
      <c r="N247" s="798"/>
      <c r="O247" s="798"/>
      <c r="P247" s="798"/>
      <c r="Q247" s="798"/>
      <c r="R247" s="798"/>
      <c r="S247" s="798"/>
      <c r="T247" s="798"/>
      <c r="U247" s="798"/>
      <c r="V247" s="798"/>
      <c r="W247" s="798"/>
      <c r="X247" s="798"/>
      <c r="Y247" s="798"/>
      <c r="Z247" s="798"/>
      <c r="AA247" s="798"/>
      <c r="AB247" s="798"/>
      <c r="AC247" s="798"/>
      <c r="AD247" s="798"/>
    </row>
    <row r="248" ht="15.75" customHeight="1">
      <c r="A248" s="798"/>
      <c r="B248" s="798"/>
      <c r="C248" s="798"/>
      <c r="D248" s="798"/>
      <c r="E248" s="798"/>
      <c r="F248" s="798"/>
      <c r="G248" s="798"/>
      <c r="H248" s="798"/>
      <c r="I248" s="798"/>
      <c r="J248" s="798"/>
      <c r="K248" s="798"/>
      <c r="L248" s="798"/>
      <c r="M248" s="798"/>
      <c r="N248" s="798"/>
      <c r="O248" s="798"/>
      <c r="P248" s="798"/>
      <c r="Q248" s="798"/>
      <c r="R248" s="798"/>
      <c r="S248" s="798"/>
      <c r="T248" s="798"/>
      <c r="U248" s="798"/>
      <c r="V248" s="798"/>
      <c r="W248" s="798"/>
      <c r="X248" s="798"/>
      <c r="Y248" s="798"/>
      <c r="Z248" s="798"/>
      <c r="AA248" s="798"/>
      <c r="AB248" s="798"/>
      <c r="AC248" s="798"/>
      <c r="AD248" s="798"/>
    </row>
    <row r="249" ht="15.75" customHeight="1">
      <c r="A249" s="798"/>
      <c r="B249" s="798"/>
      <c r="C249" s="798"/>
      <c r="D249" s="798"/>
      <c r="E249" s="798"/>
      <c r="F249" s="798"/>
      <c r="G249" s="798"/>
      <c r="H249" s="798"/>
      <c r="I249" s="798"/>
      <c r="J249" s="798"/>
      <c r="K249" s="798"/>
      <c r="L249" s="798"/>
      <c r="M249" s="798"/>
      <c r="N249" s="798"/>
      <c r="O249" s="798"/>
      <c r="P249" s="798"/>
      <c r="Q249" s="798"/>
      <c r="R249" s="798"/>
      <c r="S249" s="798"/>
      <c r="T249" s="798"/>
      <c r="U249" s="798"/>
      <c r="V249" s="798"/>
      <c r="W249" s="798"/>
      <c r="X249" s="798"/>
      <c r="Y249" s="798"/>
      <c r="Z249" s="798"/>
      <c r="AA249" s="798"/>
      <c r="AB249" s="798"/>
      <c r="AC249" s="798"/>
      <c r="AD249" s="798"/>
    </row>
    <row r="250" ht="15.75" customHeight="1">
      <c r="A250" s="798"/>
      <c r="B250" s="798"/>
      <c r="C250" s="798"/>
      <c r="D250" s="798"/>
      <c r="E250" s="798"/>
      <c r="F250" s="798"/>
      <c r="G250" s="798"/>
      <c r="H250" s="798"/>
      <c r="I250" s="798"/>
      <c r="J250" s="798"/>
      <c r="K250" s="798"/>
      <c r="L250" s="798"/>
      <c r="M250" s="798"/>
      <c r="N250" s="798"/>
      <c r="O250" s="798"/>
      <c r="P250" s="798"/>
      <c r="Q250" s="798"/>
      <c r="R250" s="798"/>
      <c r="S250" s="798"/>
      <c r="T250" s="798"/>
      <c r="U250" s="798"/>
      <c r="V250" s="798"/>
      <c r="W250" s="798"/>
      <c r="X250" s="798"/>
      <c r="Y250" s="798"/>
      <c r="Z250" s="798"/>
      <c r="AA250" s="798"/>
      <c r="AB250" s="798"/>
      <c r="AC250" s="798"/>
      <c r="AD250" s="798"/>
    </row>
    <row r="251" ht="15.75" customHeight="1">
      <c r="A251" s="798"/>
      <c r="B251" s="798"/>
      <c r="C251" s="798"/>
      <c r="D251" s="798"/>
      <c r="E251" s="798"/>
      <c r="F251" s="798"/>
      <c r="G251" s="798"/>
      <c r="H251" s="798"/>
      <c r="I251" s="798"/>
      <c r="J251" s="798"/>
      <c r="K251" s="798"/>
      <c r="L251" s="798"/>
      <c r="M251" s="798"/>
      <c r="N251" s="798"/>
      <c r="O251" s="798"/>
      <c r="P251" s="798"/>
      <c r="Q251" s="798"/>
      <c r="R251" s="798"/>
      <c r="S251" s="798"/>
      <c r="T251" s="798"/>
      <c r="U251" s="798"/>
      <c r="V251" s="798"/>
      <c r="W251" s="798"/>
      <c r="X251" s="798"/>
      <c r="Y251" s="798"/>
      <c r="Z251" s="798"/>
      <c r="AA251" s="798"/>
      <c r="AB251" s="798"/>
      <c r="AC251" s="798"/>
      <c r="AD251" s="798"/>
    </row>
    <row r="252" ht="15.75" customHeight="1">
      <c r="A252" s="798"/>
      <c r="B252" s="798"/>
      <c r="C252" s="798"/>
      <c r="D252" s="798"/>
      <c r="E252" s="798"/>
      <c r="F252" s="798"/>
      <c r="G252" s="798"/>
      <c r="H252" s="798"/>
      <c r="I252" s="798"/>
      <c r="J252" s="798"/>
      <c r="K252" s="798"/>
      <c r="L252" s="798"/>
      <c r="M252" s="798"/>
      <c r="N252" s="798"/>
      <c r="O252" s="798"/>
      <c r="P252" s="798"/>
      <c r="Q252" s="798"/>
      <c r="R252" s="798"/>
      <c r="S252" s="798"/>
      <c r="T252" s="798"/>
      <c r="U252" s="798"/>
      <c r="V252" s="798"/>
      <c r="W252" s="798"/>
      <c r="X252" s="798"/>
      <c r="Y252" s="798"/>
      <c r="Z252" s="798"/>
      <c r="AA252" s="798"/>
      <c r="AB252" s="798"/>
      <c r="AC252" s="798"/>
      <c r="AD252" s="798"/>
    </row>
    <row r="253" ht="15.75" customHeight="1">
      <c r="A253" s="798"/>
      <c r="B253" s="798"/>
      <c r="C253" s="798"/>
      <c r="D253" s="798"/>
      <c r="E253" s="798"/>
      <c r="F253" s="798"/>
      <c r="G253" s="798"/>
      <c r="H253" s="798"/>
      <c r="I253" s="798"/>
      <c r="J253" s="798"/>
      <c r="K253" s="798"/>
      <c r="L253" s="798"/>
      <c r="M253" s="798"/>
      <c r="N253" s="798"/>
      <c r="O253" s="798"/>
      <c r="P253" s="798"/>
      <c r="Q253" s="798"/>
      <c r="R253" s="798"/>
      <c r="S253" s="798"/>
      <c r="T253" s="798"/>
      <c r="U253" s="798"/>
      <c r="V253" s="798"/>
      <c r="W253" s="798"/>
      <c r="X253" s="798"/>
      <c r="Y253" s="798"/>
      <c r="Z253" s="798"/>
      <c r="AA253" s="798"/>
      <c r="AB253" s="798"/>
      <c r="AC253" s="798"/>
      <c r="AD253" s="798"/>
    </row>
    <row r="254" ht="15.75" customHeight="1">
      <c r="A254" s="798"/>
      <c r="B254" s="798"/>
      <c r="C254" s="798"/>
      <c r="D254" s="798"/>
      <c r="E254" s="798"/>
      <c r="F254" s="798"/>
      <c r="G254" s="798"/>
      <c r="H254" s="798"/>
      <c r="I254" s="798"/>
      <c r="J254" s="798"/>
      <c r="K254" s="798"/>
      <c r="L254" s="798"/>
      <c r="M254" s="798"/>
      <c r="N254" s="798"/>
      <c r="O254" s="798"/>
      <c r="P254" s="798"/>
      <c r="Q254" s="798"/>
      <c r="R254" s="798"/>
      <c r="S254" s="798"/>
      <c r="T254" s="798"/>
      <c r="U254" s="798"/>
      <c r="V254" s="798"/>
      <c r="W254" s="798"/>
      <c r="X254" s="798"/>
      <c r="Y254" s="798"/>
      <c r="Z254" s="798"/>
      <c r="AA254" s="798"/>
      <c r="AB254" s="798"/>
      <c r="AC254" s="798"/>
      <c r="AD254" s="798"/>
    </row>
    <row r="255" ht="15.75" customHeight="1">
      <c r="A255" s="798"/>
      <c r="B255" s="798"/>
      <c r="C255" s="798"/>
      <c r="D255" s="798"/>
      <c r="E255" s="798"/>
      <c r="F255" s="798"/>
      <c r="G255" s="798"/>
      <c r="H255" s="798"/>
      <c r="I255" s="798"/>
      <c r="J255" s="798"/>
      <c r="K255" s="798"/>
      <c r="L255" s="798"/>
      <c r="M255" s="798"/>
      <c r="N255" s="798"/>
      <c r="O255" s="798"/>
      <c r="P255" s="798"/>
      <c r="Q255" s="798"/>
      <c r="R255" s="798"/>
      <c r="S255" s="798"/>
      <c r="T255" s="798"/>
      <c r="U255" s="798"/>
      <c r="V255" s="798"/>
      <c r="W255" s="798"/>
      <c r="X255" s="798"/>
      <c r="Y255" s="798"/>
      <c r="Z255" s="798"/>
      <c r="AA255" s="798"/>
      <c r="AB255" s="798"/>
      <c r="AC255" s="798"/>
      <c r="AD255" s="798"/>
    </row>
    <row r="256" ht="15.75" customHeight="1">
      <c r="A256" s="798"/>
      <c r="B256" s="798"/>
      <c r="C256" s="798"/>
      <c r="D256" s="798"/>
      <c r="E256" s="798"/>
      <c r="F256" s="798"/>
      <c r="G256" s="798"/>
      <c r="H256" s="798"/>
      <c r="I256" s="798"/>
      <c r="J256" s="798"/>
      <c r="K256" s="798"/>
      <c r="L256" s="798"/>
      <c r="M256" s="798"/>
      <c r="N256" s="798"/>
      <c r="O256" s="798"/>
      <c r="P256" s="798"/>
      <c r="Q256" s="798"/>
      <c r="R256" s="798"/>
      <c r="S256" s="798"/>
      <c r="T256" s="798"/>
      <c r="U256" s="798"/>
      <c r="V256" s="798"/>
      <c r="W256" s="798"/>
      <c r="X256" s="798"/>
      <c r="Y256" s="798"/>
      <c r="Z256" s="798"/>
      <c r="AA256" s="798"/>
      <c r="AB256" s="798"/>
      <c r="AC256" s="798"/>
      <c r="AD256" s="798"/>
    </row>
    <row r="257" ht="15.75" customHeight="1">
      <c r="A257" s="798"/>
      <c r="B257" s="798"/>
      <c r="C257" s="798"/>
      <c r="D257" s="798"/>
      <c r="E257" s="798"/>
      <c r="F257" s="798"/>
      <c r="G257" s="798"/>
      <c r="H257" s="798"/>
      <c r="I257" s="798"/>
      <c r="J257" s="798"/>
      <c r="K257" s="798"/>
      <c r="L257" s="798"/>
      <c r="M257" s="798"/>
      <c r="N257" s="798"/>
      <c r="O257" s="798"/>
      <c r="P257" s="798"/>
      <c r="Q257" s="798"/>
      <c r="R257" s="798"/>
      <c r="S257" s="798"/>
      <c r="T257" s="798"/>
      <c r="U257" s="798"/>
      <c r="V257" s="798"/>
      <c r="W257" s="798"/>
      <c r="X257" s="798"/>
      <c r="Y257" s="798"/>
      <c r="Z257" s="798"/>
      <c r="AA257" s="798"/>
      <c r="AB257" s="798"/>
      <c r="AC257" s="798"/>
      <c r="AD257" s="798"/>
    </row>
    <row r="258" ht="15.75" customHeight="1">
      <c r="A258" s="798"/>
      <c r="B258" s="798"/>
      <c r="C258" s="798"/>
      <c r="D258" s="798"/>
      <c r="E258" s="798"/>
      <c r="F258" s="798"/>
      <c r="G258" s="798"/>
      <c r="H258" s="798"/>
      <c r="I258" s="798"/>
      <c r="J258" s="798"/>
      <c r="K258" s="798"/>
      <c r="L258" s="798"/>
      <c r="M258" s="798"/>
      <c r="N258" s="798"/>
      <c r="O258" s="798"/>
      <c r="P258" s="798"/>
      <c r="Q258" s="798"/>
      <c r="R258" s="798"/>
      <c r="S258" s="798"/>
      <c r="T258" s="798"/>
      <c r="U258" s="798"/>
      <c r="V258" s="798"/>
      <c r="W258" s="798"/>
      <c r="X258" s="798"/>
      <c r="Y258" s="798"/>
      <c r="Z258" s="798"/>
      <c r="AA258" s="798"/>
      <c r="AB258" s="798"/>
      <c r="AC258" s="798"/>
      <c r="AD258" s="798"/>
    </row>
    <row r="259" ht="15.75" customHeight="1">
      <c r="A259" s="798"/>
      <c r="B259" s="798"/>
      <c r="C259" s="798"/>
      <c r="D259" s="798"/>
      <c r="E259" s="798"/>
      <c r="F259" s="798"/>
      <c r="G259" s="798"/>
      <c r="H259" s="798"/>
      <c r="I259" s="798"/>
      <c r="J259" s="798"/>
      <c r="K259" s="798"/>
      <c r="L259" s="798"/>
      <c r="M259" s="798"/>
      <c r="N259" s="798"/>
      <c r="O259" s="798"/>
      <c r="P259" s="798"/>
      <c r="Q259" s="798"/>
      <c r="R259" s="798"/>
      <c r="S259" s="798"/>
      <c r="T259" s="798"/>
      <c r="U259" s="798"/>
      <c r="V259" s="798"/>
      <c r="W259" s="798"/>
      <c r="X259" s="798"/>
      <c r="Y259" s="798"/>
      <c r="Z259" s="798"/>
      <c r="AA259" s="798"/>
      <c r="AB259" s="798"/>
      <c r="AC259" s="798"/>
      <c r="AD259" s="798"/>
    </row>
    <row r="260" ht="15.75" customHeight="1">
      <c r="A260" s="798"/>
      <c r="B260" s="798"/>
      <c r="C260" s="798"/>
      <c r="D260" s="798"/>
      <c r="E260" s="798"/>
      <c r="F260" s="798"/>
      <c r="G260" s="798"/>
      <c r="H260" s="798"/>
      <c r="I260" s="798"/>
      <c r="J260" s="798"/>
      <c r="K260" s="798"/>
      <c r="L260" s="798"/>
      <c r="M260" s="798"/>
      <c r="N260" s="798"/>
      <c r="O260" s="798"/>
      <c r="P260" s="798"/>
      <c r="Q260" s="798"/>
      <c r="R260" s="798"/>
      <c r="S260" s="798"/>
      <c r="T260" s="798"/>
      <c r="U260" s="798"/>
      <c r="V260" s="798"/>
      <c r="W260" s="798"/>
      <c r="X260" s="798"/>
      <c r="Y260" s="798"/>
      <c r="Z260" s="798"/>
      <c r="AA260" s="798"/>
      <c r="AB260" s="798"/>
      <c r="AC260" s="798"/>
      <c r="AD260" s="798"/>
    </row>
    <row r="261" ht="15.75" customHeight="1">
      <c r="A261" s="798"/>
      <c r="B261" s="798"/>
      <c r="C261" s="798"/>
      <c r="D261" s="798"/>
      <c r="E261" s="798"/>
      <c r="F261" s="798"/>
      <c r="G261" s="798"/>
      <c r="H261" s="798"/>
      <c r="I261" s="798"/>
      <c r="J261" s="798"/>
      <c r="K261" s="798"/>
      <c r="L261" s="798"/>
      <c r="M261" s="798"/>
      <c r="N261" s="798"/>
      <c r="O261" s="798"/>
      <c r="P261" s="798"/>
      <c r="Q261" s="798"/>
      <c r="R261" s="798"/>
      <c r="S261" s="798"/>
      <c r="T261" s="798"/>
      <c r="U261" s="798"/>
      <c r="V261" s="798"/>
      <c r="W261" s="798"/>
      <c r="X261" s="798"/>
      <c r="Y261" s="798"/>
      <c r="Z261" s="798"/>
      <c r="AA261" s="798"/>
      <c r="AB261" s="798"/>
      <c r="AC261" s="798"/>
      <c r="AD261" s="798"/>
    </row>
    <row r="262" ht="15.75" customHeight="1">
      <c r="A262" s="798"/>
      <c r="B262" s="798"/>
      <c r="C262" s="798"/>
      <c r="D262" s="798"/>
      <c r="E262" s="798"/>
      <c r="F262" s="798"/>
      <c r="G262" s="798"/>
      <c r="H262" s="798"/>
      <c r="I262" s="798"/>
      <c r="J262" s="798"/>
      <c r="K262" s="798"/>
      <c r="L262" s="798"/>
      <c r="M262" s="798"/>
      <c r="N262" s="798"/>
      <c r="O262" s="798"/>
      <c r="P262" s="798"/>
      <c r="Q262" s="798"/>
      <c r="R262" s="798"/>
      <c r="S262" s="798"/>
      <c r="T262" s="798"/>
      <c r="U262" s="798"/>
      <c r="V262" s="798"/>
      <c r="W262" s="798"/>
      <c r="X262" s="798"/>
      <c r="Y262" s="798"/>
      <c r="Z262" s="798"/>
      <c r="AA262" s="798"/>
      <c r="AB262" s="798"/>
      <c r="AC262" s="798"/>
      <c r="AD262" s="798"/>
    </row>
    <row r="263" ht="15.75" customHeight="1">
      <c r="A263" s="798"/>
      <c r="B263" s="798"/>
      <c r="C263" s="798"/>
      <c r="D263" s="798"/>
      <c r="E263" s="798"/>
      <c r="F263" s="798"/>
      <c r="G263" s="798"/>
      <c r="H263" s="798"/>
      <c r="I263" s="798"/>
      <c r="J263" s="798"/>
      <c r="K263" s="798"/>
      <c r="L263" s="798"/>
      <c r="M263" s="798"/>
      <c r="N263" s="798"/>
      <c r="O263" s="798"/>
      <c r="P263" s="798"/>
      <c r="Q263" s="798"/>
      <c r="R263" s="798"/>
      <c r="S263" s="798"/>
      <c r="T263" s="798"/>
      <c r="U263" s="798"/>
      <c r="V263" s="798"/>
      <c r="W263" s="798"/>
      <c r="X263" s="798"/>
      <c r="Y263" s="798"/>
      <c r="Z263" s="798"/>
      <c r="AA263" s="798"/>
      <c r="AB263" s="798"/>
      <c r="AC263" s="798"/>
      <c r="AD263" s="798"/>
    </row>
    <row r="264" ht="15.75" customHeight="1">
      <c r="A264" s="798"/>
      <c r="B264" s="798"/>
      <c r="C264" s="798"/>
      <c r="D264" s="798"/>
      <c r="E264" s="798"/>
      <c r="F264" s="798"/>
      <c r="G264" s="798"/>
      <c r="H264" s="798"/>
      <c r="I264" s="798"/>
      <c r="J264" s="798"/>
      <c r="K264" s="798"/>
      <c r="L264" s="798"/>
      <c r="M264" s="798"/>
      <c r="N264" s="798"/>
      <c r="O264" s="798"/>
      <c r="P264" s="798"/>
      <c r="Q264" s="798"/>
      <c r="R264" s="798"/>
      <c r="S264" s="798"/>
      <c r="T264" s="798"/>
      <c r="U264" s="798"/>
      <c r="V264" s="798"/>
      <c r="W264" s="798"/>
      <c r="X264" s="798"/>
      <c r="Y264" s="798"/>
      <c r="Z264" s="798"/>
      <c r="AA264" s="798"/>
      <c r="AB264" s="798"/>
      <c r="AC264" s="798"/>
      <c r="AD264" s="798"/>
    </row>
    <row r="265" ht="15.75" customHeight="1">
      <c r="A265" s="798"/>
      <c r="B265" s="798"/>
      <c r="C265" s="798"/>
      <c r="D265" s="798"/>
      <c r="E265" s="798"/>
      <c r="F265" s="798"/>
      <c r="G265" s="798"/>
      <c r="H265" s="798"/>
      <c r="I265" s="798"/>
      <c r="J265" s="798"/>
      <c r="K265" s="798"/>
      <c r="L265" s="798"/>
      <c r="M265" s="798"/>
      <c r="N265" s="798"/>
      <c r="O265" s="798"/>
      <c r="P265" s="798"/>
      <c r="Q265" s="798"/>
      <c r="R265" s="798"/>
      <c r="S265" s="798"/>
      <c r="T265" s="798"/>
      <c r="U265" s="798"/>
      <c r="V265" s="798"/>
      <c r="W265" s="798"/>
      <c r="X265" s="798"/>
      <c r="Y265" s="798"/>
      <c r="Z265" s="798"/>
      <c r="AA265" s="798"/>
      <c r="AB265" s="798"/>
      <c r="AC265" s="798"/>
      <c r="AD265" s="798"/>
    </row>
    <row r="266" ht="15.75" customHeight="1">
      <c r="A266" s="798"/>
      <c r="B266" s="798"/>
      <c r="C266" s="798"/>
      <c r="D266" s="798"/>
      <c r="E266" s="798"/>
      <c r="F266" s="798"/>
      <c r="G266" s="798"/>
      <c r="H266" s="798"/>
      <c r="I266" s="798"/>
      <c r="J266" s="798"/>
      <c r="K266" s="798"/>
      <c r="L266" s="798"/>
      <c r="M266" s="798"/>
      <c r="N266" s="798"/>
      <c r="O266" s="798"/>
      <c r="P266" s="798"/>
      <c r="Q266" s="798"/>
      <c r="R266" s="798"/>
      <c r="S266" s="798"/>
      <c r="T266" s="798"/>
      <c r="U266" s="798"/>
      <c r="V266" s="798"/>
      <c r="W266" s="798"/>
      <c r="X266" s="798"/>
      <c r="Y266" s="798"/>
      <c r="Z266" s="798"/>
      <c r="AA266" s="798"/>
      <c r="AB266" s="798"/>
      <c r="AC266" s="798"/>
      <c r="AD266" s="798"/>
    </row>
    <row r="267" ht="15.75" customHeight="1">
      <c r="A267" s="798"/>
      <c r="B267" s="798"/>
      <c r="C267" s="798"/>
      <c r="D267" s="798"/>
      <c r="E267" s="798"/>
      <c r="F267" s="798"/>
      <c r="G267" s="798"/>
      <c r="H267" s="798"/>
      <c r="I267" s="798"/>
      <c r="J267" s="798"/>
      <c r="K267" s="798"/>
      <c r="L267" s="798"/>
      <c r="M267" s="798"/>
      <c r="N267" s="798"/>
      <c r="O267" s="798"/>
      <c r="P267" s="798"/>
      <c r="Q267" s="798"/>
      <c r="R267" s="798"/>
      <c r="S267" s="798"/>
      <c r="T267" s="798"/>
      <c r="U267" s="798"/>
      <c r="V267" s="798"/>
      <c r="W267" s="798"/>
      <c r="X267" s="798"/>
      <c r="Y267" s="798"/>
      <c r="Z267" s="798"/>
      <c r="AA267" s="798"/>
      <c r="AB267" s="798"/>
      <c r="AC267" s="798"/>
      <c r="AD267" s="798"/>
    </row>
    <row r="268" ht="15.75" customHeight="1">
      <c r="A268" s="798"/>
      <c r="B268" s="798"/>
      <c r="C268" s="798"/>
      <c r="D268" s="798"/>
      <c r="E268" s="798"/>
      <c r="F268" s="798"/>
      <c r="G268" s="798"/>
      <c r="H268" s="798"/>
      <c r="I268" s="798"/>
      <c r="J268" s="798"/>
      <c r="K268" s="798"/>
      <c r="L268" s="798"/>
      <c r="M268" s="798"/>
      <c r="N268" s="798"/>
      <c r="O268" s="798"/>
      <c r="P268" s="798"/>
      <c r="Q268" s="798"/>
      <c r="R268" s="798"/>
      <c r="S268" s="798"/>
      <c r="T268" s="798"/>
      <c r="U268" s="798"/>
      <c r="V268" s="798"/>
      <c r="W268" s="798"/>
      <c r="X268" s="798"/>
      <c r="Y268" s="798"/>
      <c r="Z268" s="798"/>
      <c r="AA268" s="798"/>
      <c r="AB268" s="798"/>
      <c r="AC268" s="798"/>
      <c r="AD268" s="798"/>
    </row>
    <row r="269" ht="15.75" customHeight="1">
      <c r="A269" s="798"/>
      <c r="B269" s="798"/>
      <c r="C269" s="798"/>
      <c r="D269" s="798"/>
      <c r="E269" s="798"/>
      <c r="F269" s="798"/>
      <c r="G269" s="798"/>
      <c r="H269" s="798"/>
      <c r="I269" s="798"/>
      <c r="J269" s="798"/>
      <c r="K269" s="798"/>
      <c r="L269" s="798"/>
      <c r="M269" s="798"/>
      <c r="N269" s="798"/>
      <c r="O269" s="798"/>
      <c r="P269" s="798"/>
      <c r="Q269" s="798"/>
      <c r="R269" s="798"/>
      <c r="S269" s="798"/>
      <c r="T269" s="798"/>
      <c r="U269" s="798"/>
      <c r="V269" s="798"/>
      <c r="W269" s="798"/>
      <c r="X269" s="798"/>
      <c r="Y269" s="798"/>
      <c r="Z269" s="798"/>
      <c r="AA269" s="798"/>
      <c r="AB269" s="798"/>
      <c r="AC269" s="798"/>
      <c r="AD269" s="798"/>
    </row>
    <row r="270" ht="15.75" customHeight="1">
      <c r="A270" s="798"/>
      <c r="B270" s="798"/>
      <c r="C270" s="798"/>
      <c r="D270" s="798"/>
      <c r="E270" s="798"/>
      <c r="F270" s="798"/>
      <c r="G270" s="798"/>
      <c r="H270" s="798"/>
      <c r="I270" s="798"/>
      <c r="J270" s="798"/>
      <c r="K270" s="798"/>
      <c r="L270" s="798"/>
      <c r="M270" s="798"/>
      <c r="N270" s="798"/>
      <c r="O270" s="798"/>
      <c r="P270" s="798"/>
      <c r="Q270" s="798"/>
      <c r="R270" s="798"/>
      <c r="S270" s="798"/>
      <c r="T270" s="798"/>
      <c r="U270" s="798"/>
      <c r="V270" s="798"/>
      <c r="W270" s="798"/>
      <c r="X270" s="798"/>
      <c r="Y270" s="798"/>
      <c r="Z270" s="798"/>
      <c r="AA270" s="798"/>
      <c r="AB270" s="798"/>
      <c r="AC270" s="798"/>
      <c r="AD270" s="798"/>
    </row>
    <row r="271" ht="15.75" customHeight="1">
      <c r="A271" s="798"/>
      <c r="B271" s="798"/>
      <c r="C271" s="798"/>
      <c r="D271" s="798"/>
      <c r="E271" s="798"/>
      <c r="F271" s="798"/>
      <c r="G271" s="798"/>
      <c r="H271" s="798"/>
      <c r="I271" s="798"/>
      <c r="J271" s="798"/>
      <c r="K271" s="798"/>
      <c r="L271" s="798"/>
      <c r="M271" s="798"/>
      <c r="N271" s="798"/>
      <c r="O271" s="798"/>
      <c r="P271" s="798"/>
      <c r="Q271" s="798"/>
      <c r="R271" s="798"/>
      <c r="S271" s="798"/>
      <c r="T271" s="798"/>
      <c r="U271" s="798"/>
      <c r="V271" s="798"/>
      <c r="W271" s="798"/>
      <c r="X271" s="798"/>
      <c r="Y271" s="798"/>
      <c r="Z271" s="798"/>
      <c r="AA271" s="798"/>
      <c r="AB271" s="798"/>
      <c r="AC271" s="798"/>
      <c r="AD271" s="798"/>
    </row>
    <row r="272" ht="15.75" customHeight="1">
      <c r="A272" s="798"/>
      <c r="B272" s="798"/>
      <c r="C272" s="798"/>
      <c r="D272" s="798"/>
      <c r="E272" s="798"/>
      <c r="F272" s="798"/>
      <c r="G272" s="798"/>
      <c r="H272" s="798"/>
      <c r="I272" s="798"/>
      <c r="J272" s="798"/>
      <c r="K272" s="798"/>
      <c r="L272" s="798"/>
      <c r="M272" s="798"/>
      <c r="N272" s="798"/>
      <c r="O272" s="798"/>
      <c r="P272" s="798"/>
      <c r="Q272" s="798"/>
      <c r="R272" s="798"/>
      <c r="S272" s="798"/>
      <c r="T272" s="798"/>
      <c r="U272" s="798"/>
      <c r="V272" s="798"/>
      <c r="W272" s="798"/>
      <c r="X272" s="798"/>
      <c r="Y272" s="798"/>
      <c r="Z272" s="798"/>
      <c r="AA272" s="798"/>
      <c r="AB272" s="798"/>
      <c r="AC272" s="798"/>
      <c r="AD272" s="798"/>
    </row>
    <row r="273" ht="15.75" customHeight="1">
      <c r="A273" s="798"/>
      <c r="B273" s="798"/>
      <c r="C273" s="798"/>
      <c r="D273" s="798"/>
      <c r="E273" s="798"/>
      <c r="F273" s="798"/>
      <c r="G273" s="798"/>
      <c r="H273" s="798"/>
      <c r="I273" s="798"/>
      <c r="J273" s="798"/>
      <c r="K273" s="798"/>
      <c r="L273" s="798"/>
      <c r="M273" s="798"/>
      <c r="N273" s="798"/>
      <c r="O273" s="798"/>
      <c r="P273" s="798"/>
      <c r="Q273" s="798"/>
      <c r="R273" s="798"/>
      <c r="S273" s="798"/>
      <c r="T273" s="798"/>
      <c r="U273" s="798"/>
      <c r="V273" s="798"/>
      <c r="W273" s="798"/>
      <c r="X273" s="798"/>
      <c r="Y273" s="798"/>
      <c r="Z273" s="798"/>
      <c r="AA273" s="798"/>
      <c r="AB273" s="798"/>
      <c r="AC273" s="798"/>
      <c r="AD273" s="798"/>
    </row>
    <row r="274" ht="15.75" customHeight="1">
      <c r="A274" s="798"/>
      <c r="B274" s="798"/>
      <c r="C274" s="798"/>
      <c r="D274" s="798"/>
      <c r="E274" s="798"/>
      <c r="F274" s="798"/>
      <c r="G274" s="798"/>
      <c r="H274" s="798"/>
      <c r="I274" s="798"/>
      <c r="J274" s="798"/>
      <c r="K274" s="798"/>
      <c r="L274" s="798"/>
      <c r="M274" s="798"/>
      <c r="N274" s="798"/>
      <c r="O274" s="798"/>
      <c r="P274" s="798"/>
      <c r="Q274" s="798"/>
      <c r="R274" s="798"/>
      <c r="S274" s="798"/>
      <c r="T274" s="798"/>
      <c r="U274" s="798"/>
      <c r="V274" s="798"/>
      <c r="W274" s="798"/>
      <c r="X274" s="798"/>
      <c r="Y274" s="798"/>
      <c r="Z274" s="798"/>
      <c r="AA274" s="798"/>
      <c r="AB274" s="798"/>
      <c r="AC274" s="798"/>
      <c r="AD274" s="798"/>
    </row>
    <row r="275" ht="15.75" customHeight="1">
      <c r="A275" s="798"/>
      <c r="B275" s="798"/>
      <c r="C275" s="798"/>
      <c r="D275" s="798"/>
      <c r="E275" s="798"/>
      <c r="F275" s="798"/>
      <c r="G275" s="798"/>
      <c r="H275" s="798"/>
      <c r="I275" s="798"/>
      <c r="J275" s="798"/>
      <c r="K275" s="798"/>
      <c r="L275" s="798"/>
      <c r="M275" s="798"/>
      <c r="N275" s="798"/>
      <c r="O275" s="798"/>
      <c r="P275" s="798"/>
      <c r="Q275" s="798"/>
      <c r="R275" s="798"/>
      <c r="S275" s="798"/>
      <c r="T275" s="798"/>
      <c r="U275" s="798"/>
      <c r="V275" s="798"/>
      <c r="W275" s="798"/>
      <c r="X275" s="798"/>
      <c r="Y275" s="798"/>
      <c r="Z275" s="798"/>
      <c r="AA275" s="798"/>
      <c r="AB275" s="798"/>
      <c r="AC275" s="798"/>
      <c r="AD275" s="798"/>
    </row>
    <row r="276" ht="15.75" customHeight="1">
      <c r="A276" s="798"/>
      <c r="B276" s="798"/>
      <c r="C276" s="798"/>
      <c r="D276" s="798"/>
      <c r="E276" s="798"/>
      <c r="F276" s="798"/>
      <c r="G276" s="798"/>
      <c r="H276" s="798"/>
      <c r="I276" s="798"/>
      <c r="J276" s="798"/>
      <c r="K276" s="798"/>
      <c r="L276" s="798"/>
      <c r="M276" s="798"/>
      <c r="N276" s="798"/>
      <c r="O276" s="798"/>
      <c r="P276" s="798"/>
      <c r="Q276" s="798"/>
      <c r="R276" s="798"/>
      <c r="S276" s="798"/>
      <c r="T276" s="798"/>
      <c r="U276" s="798"/>
      <c r="V276" s="798"/>
      <c r="W276" s="798"/>
      <c r="X276" s="798"/>
      <c r="Y276" s="798"/>
      <c r="Z276" s="798"/>
      <c r="AA276" s="798"/>
      <c r="AB276" s="798"/>
      <c r="AC276" s="798"/>
      <c r="AD276" s="798"/>
    </row>
    <row r="277" ht="15.75" customHeight="1">
      <c r="A277" s="798"/>
      <c r="B277" s="798"/>
      <c r="C277" s="798"/>
      <c r="D277" s="798"/>
      <c r="E277" s="798"/>
      <c r="F277" s="798"/>
      <c r="G277" s="798"/>
      <c r="H277" s="798"/>
      <c r="I277" s="798"/>
      <c r="J277" s="798"/>
      <c r="K277" s="798"/>
      <c r="L277" s="798"/>
      <c r="M277" s="798"/>
      <c r="N277" s="798"/>
      <c r="O277" s="798"/>
      <c r="P277" s="798"/>
      <c r="Q277" s="798"/>
      <c r="R277" s="798"/>
      <c r="S277" s="798"/>
      <c r="T277" s="798"/>
      <c r="U277" s="798"/>
      <c r="V277" s="798"/>
      <c r="W277" s="798"/>
      <c r="X277" s="798"/>
      <c r="Y277" s="798"/>
      <c r="Z277" s="798"/>
      <c r="AA277" s="798"/>
      <c r="AB277" s="798"/>
      <c r="AC277" s="798"/>
      <c r="AD277" s="798"/>
    </row>
    <row r="278" ht="15.75" customHeight="1">
      <c r="A278" s="798"/>
      <c r="B278" s="798"/>
      <c r="C278" s="798"/>
      <c r="D278" s="798"/>
      <c r="E278" s="798"/>
      <c r="F278" s="798"/>
      <c r="G278" s="798"/>
      <c r="H278" s="798"/>
      <c r="I278" s="798"/>
      <c r="J278" s="798"/>
      <c r="K278" s="798"/>
      <c r="L278" s="798"/>
      <c r="M278" s="798"/>
      <c r="N278" s="798"/>
      <c r="O278" s="798"/>
      <c r="P278" s="798"/>
      <c r="Q278" s="798"/>
      <c r="R278" s="798"/>
      <c r="S278" s="798"/>
      <c r="T278" s="798"/>
      <c r="U278" s="798"/>
      <c r="V278" s="798"/>
      <c r="W278" s="798"/>
      <c r="X278" s="798"/>
      <c r="Y278" s="798"/>
      <c r="Z278" s="798"/>
      <c r="AA278" s="798"/>
      <c r="AB278" s="798"/>
      <c r="AC278" s="798"/>
      <c r="AD278" s="798"/>
    </row>
    <row r="279" ht="15.75" customHeight="1">
      <c r="A279" s="798"/>
      <c r="B279" s="798"/>
      <c r="C279" s="798"/>
      <c r="D279" s="798"/>
      <c r="E279" s="798"/>
      <c r="F279" s="798"/>
      <c r="G279" s="798"/>
      <c r="H279" s="798"/>
      <c r="I279" s="798"/>
      <c r="J279" s="798"/>
      <c r="K279" s="798"/>
      <c r="L279" s="798"/>
      <c r="M279" s="798"/>
      <c r="N279" s="798"/>
      <c r="O279" s="798"/>
      <c r="P279" s="798"/>
      <c r="Q279" s="798"/>
      <c r="R279" s="798"/>
      <c r="S279" s="798"/>
      <c r="T279" s="798"/>
      <c r="U279" s="798"/>
      <c r="V279" s="798"/>
      <c r="W279" s="798"/>
      <c r="X279" s="798"/>
      <c r="Y279" s="798"/>
      <c r="Z279" s="798"/>
      <c r="AA279" s="798"/>
      <c r="AB279" s="798"/>
      <c r="AC279" s="798"/>
      <c r="AD279" s="798"/>
    </row>
    <row r="280" ht="15.75" customHeight="1">
      <c r="A280" s="798"/>
      <c r="B280" s="798"/>
      <c r="C280" s="798"/>
      <c r="D280" s="798"/>
      <c r="E280" s="798"/>
      <c r="F280" s="798"/>
      <c r="G280" s="798"/>
      <c r="H280" s="798"/>
      <c r="I280" s="798"/>
      <c r="J280" s="798"/>
      <c r="K280" s="798"/>
      <c r="L280" s="798"/>
      <c r="M280" s="798"/>
      <c r="N280" s="798"/>
      <c r="O280" s="798"/>
      <c r="P280" s="798"/>
      <c r="Q280" s="798"/>
      <c r="R280" s="798"/>
      <c r="S280" s="798"/>
      <c r="T280" s="798"/>
      <c r="U280" s="798"/>
      <c r="V280" s="798"/>
      <c r="W280" s="798"/>
      <c r="X280" s="798"/>
      <c r="Y280" s="798"/>
      <c r="Z280" s="798"/>
      <c r="AA280" s="798"/>
      <c r="AB280" s="798"/>
      <c r="AC280" s="798"/>
      <c r="AD280" s="798"/>
    </row>
    <row r="281" ht="15.75" customHeight="1">
      <c r="A281" s="798"/>
      <c r="B281" s="798"/>
      <c r="C281" s="798"/>
      <c r="D281" s="798"/>
      <c r="E281" s="798"/>
      <c r="F281" s="798"/>
      <c r="G281" s="798"/>
      <c r="H281" s="798"/>
      <c r="I281" s="798"/>
      <c r="J281" s="798"/>
      <c r="K281" s="798"/>
      <c r="L281" s="798"/>
      <c r="M281" s="798"/>
      <c r="N281" s="798"/>
      <c r="O281" s="798"/>
      <c r="P281" s="798"/>
      <c r="Q281" s="798"/>
      <c r="R281" s="798"/>
      <c r="S281" s="798"/>
      <c r="T281" s="798"/>
      <c r="U281" s="798"/>
      <c r="V281" s="798"/>
      <c r="W281" s="798"/>
      <c r="X281" s="798"/>
      <c r="Y281" s="798"/>
      <c r="Z281" s="798"/>
      <c r="AA281" s="798"/>
      <c r="AB281" s="798"/>
      <c r="AC281" s="798"/>
      <c r="AD281" s="798"/>
    </row>
    <row r="282" ht="15.75" customHeight="1">
      <c r="A282" s="798"/>
      <c r="B282" s="798"/>
      <c r="C282" s="798"/>
      <c r="D282" s="798"/>
      <c r="E282" s="798"/>
      <c r="F282" s="798"/>
      <c r="G282" s="798"/>
      <c r="H282" s="798"/>
      <c r="I282" s="798"/>
      <c r="J282" s="798"/>
      <c r="K282" s="798"/>
      <c r="L282" s="798"/>
      <c r="M282" s="798"/>
      <c r="N282" s="798"/>
      <c r="O282" s="798"/>
      <c r="P282" s="798"/>
      <c r="Q282" s="798"/>
      <c r="R282" s="798"/>
      <c r="S282" s="798"/>
      <c r="T282" s="798"/>
      <c r="U282" s="798"/>
      <c r="V282" s="798"/>
      <c r="W282" s="798"/>
      <c r="X282" s="798"/>
      <c r="Y282" s="798"/>
      <c r="Z282" s="798"/>
      <c r="AA282" s="798"/>
      <c r="AB282" s="798"/>
      <c r="AC282" s="798"/>
      <c r="AD282" s="798"/>
    </row>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D$7:$D$139"/>
  <mergeCells count="368">
    <mergeCell ref="I76:I78"/>
    <mergeCell ref="I79:I80"/>
    <mergeCell ref="H49:H51"/>
    <mergeCell ref="I49:I51"/>
    <mergeCell ref="J65:J82"/>
    <mergeCell ref="H68:H70"/>
    <mergeCell ref="I68:I70"/>
    <mergeCell ref="H71:H73"/>
    <mergeCell ref="I71:I73"/>
    <mergeCell ref="I81:I82"/>
    <mergeCell ref="G81:G82"/>
    <mergeCell ref="H81:H82"/>
    <mergeCell ref="G52:G54"/>
    <mergeCell ref="H52:H54"/>
    <mergeCell ref="G68:G70"/>
    <mergeCell ref="G71:G73"/>
    <mergeCell ref="G74:G75"/>
    <mergeCell ref="G76:G78"/>
    <mergeCell ref="H76:H78"/>
    <mergeCell ref="G30:G32"/>
    <mergeCell ref="G36:G37"/>
    <mergeCell ref="H36:H37"/>
    <mergeCell ref="I36:I37"/>
    <mergeCell ref="G38:G40"/>
    <mergeCell ref="H38:H40"/>
    <mergeCell ref="I38:I40"/>
    <mergeCell ref="G41:G42"/>
    <mergeCell ref="H41:H42"/>
    <mergeCell ref="I41:I42"/>
    <mergeCell ref="G24:G25"/>
    <mergeCell ref="H24:H25"/>
    <mergeCell ref="G27:G29"/>
    <mergeCell ref="H27:H29"/>
    <mergeCell ref="I27:I29"/>
    <mergeCell ref="J27:J44"/>
    <mergeCell ref="I33:I35"/>
    <mergeCell ref="I43:I44"/>
    <mergeCell ref="H74:H75"/>
    <mergeCell ref="I74:I75"/>
    <mergeCell ref="G79:G80"/>
    <mergeCell ref="H79:H80"/>
    <mergeCell ref="F55:F56"/>
    <mergeCell ref="F57:F59"/>
    <mergeCell ref="F60:F61"/>
    <mergeCell ref="F62:F63"/>
    <mergeCell ref="F65:F67"/>
    <mergeCell ref="F68:F70"/>
    <mergeCell ref="F71:F73"/>
    <mergeCell ref="E52:E54"/>
    <mergeCell ref="E55:E56"/>
    <mergeCell ref="E57:E59"/>
    <mergeCell ref="E60:E61"/>
    <mergeCell ref="E62:E63"/>
    <mergeCell ref="E65:E67"/>
    <mergeCell ref="E68:E70"/>
    <mergeCell ref="F87:F89"/>
    <mergeCell ref="G87:G89"/>
    <mergeCell ref="H87:H89"/>
    <mergeCell ref="E87:E89"/>
    <mergeCell ref="E90:E92"/>
    <mergeCell ref="F90:F92"/>
    <mergeCell ref="G90:G92"/>
    <mergeCell ref="H90:H92"/>
    <mergeCell ref="E93:E94"/>
    <mergeCell ref="F93:F94"/>
    <mergeCell ref="E95:E97"/>
    <mergeCell ref="F95:F97"/>
    <mergeCell ref="G95:G97"/>
    <mergeCell ref="H95:H97"/>
    <mergeCell ref="F98:F99"/>
    <mergeCell ref="G98:G99"/>
    <mergeCell ref="H98:H99"/>
    <mergeCell ref="E98:E99"/>
    <mergeCell ref="E100:E101"/>
    <mergeCell ref="F100:F101"/>
    <mergeCell ref="G100:G101"/>
    <mergeCell ref="H100:H101"/>
    <mergeCell ref="E103:E105"/>
    <mergeCell ref="F103:F105"/>
    <mergeCell ref="E106:E108"/>
    <mergeCell ref="E109:E111"/>
    <mergeCell ref="F109:F111"/>
    <mergeCell ref="G109:G111"/>
    <mergeCell ref="H109:H111"/>
    <mergeCell ref="I109:I111"/>
    <mergeCell ref="G103:G105"/>
    <mergeCell ref="H103:H105"/>
    <mergeCell ref="I103:I105"/>
    <mergeCell ref="F106:F108"/>
    <mergeCell ref="G106:G108"/>
    <mergeCell ref="H106:H108"/>
    <mergeCell ref="I106:I108"/>
    <mergeCell ref="I84:I86"/>
    <mergeCell ref="I87:I89"/>
    <mergeCell ref="I90:I92"/>
    <mergeCell ref="I93:I94"/>
    <mergeCell ref="I95:I97"/>
    <mergeCell ref="I98:I99"/>
    <mergeCell ref="I100:I101"/>
    <mergeCell ref="I136:I137"/>
    <mergeCell ref="I138:I139"/>
    <mergeCell ref="I112:I113"/>
    <mergeCell ref="I114:I116"/>
    <mergeCell ref="J122:J139"/>
    <mergeCell ref="I125:I127"/>
    <mergeCell ref="I128:I130"/>
    <mergeCell ref="I131:I132"/>
    <mergeCell ref="I133:I135"/>
    <mergeCell ref="B103:B120"/>
    <mergeCell ref="B122:B139"/>
    <mergeCell ref="C122:C139"/>
    <mergeCell ref="B46:B63"/>
    <mergeCell ref="C46:C63"/>
    <mergeCell ref="B65:B82"/>
    <mergeCell ref="C65:C82"/>
    <mergeCell ref="B84:B101"/>
    <mergeCell ref="C84:C101"/>
    <mergeCell ref="C103:C120"/>
    <mergeCell ref="G125:G127"/>
    <mergeCell ref="H125:H127"/>
    <mergeCell ref="E122:E124"/>
    <mergeCell ref="F122:F124"/>
    <mergeCell ref="G122:G124"/>
    <mergeCell ref="H122:H124"/>
    <mergeCell ref="I122:I124"/>
    <mergeCell ref="E125:E127"/>
    <mergeCell ref="F125:F127"/>
    <mergeCell ref="E128:E130"/>
    <mergeCell ref="F128:F130"/>
    <mergeCell ref="G128:G130"/>
    <mergeCell ref="H128:H130"/>
    <mergeCell ref="F131:F132"/>
    <mergeCell ref="G131:G132"/>
    <mergeCell ref="H131:H132"/>
    <mergeCell ref="G136:G137"/>
    <mergeCell ref="H136:H137"/>
    <mergeCell ref="E138:E139"/>
    <mergeCell ref="F138:F139"/>
    <mergeCell ref="G138:G139"/>
    <mergeCell ref="H138:H139"/>
    <mergeCell ref="E131:E132"/>
    <mergeCell ref="E133:E135"/>
    <mergeCell ref="F133:F135"/>
    <mergeCell ref="G133:G135"/>
    <mergeCell ref="H133:H135"/>
    <mergeCell ref="E136:E137"/>
    <mergeCell ref="F136:F137"/>
    <mergeCell ref="F33:F35"/>
    <mergeCell ref="E36:E37"/>
    <mergeCell ref="F36:F37"/>
    <mergeCell ref="E24:E25"/>
    <mergeCell ref="F24:F25"/>
    <mergeCell ref="B27:B44"/>
    <mergeCell ref="C27:C44"/>
    <mergeCell ref="E27:E29"/>
    <mergeCell ref="F27:F29"/>
    <mergeCell ref="F30:F32"/>
    <mergeCell ref="E43:E44"/>
    <mergeCell ref="F43:F44"/>
    <mergeCell ref="E46:E48"/>
    <mergeCell ref="F46:F48"/>
    <mergeCell ref="E49:E51"/>
    <mergeCell ref="F49:F51"/>
    <mergeCell ref="F52:F54"/>
    <mergeCell ref="J84:J101"/>
    <mergeCell ref="J103:J120"/>
    <mergeCell ref="F114:F116"/>
    <mergeCell ref="G114:G116"/>
    <mergeCell ref="F117:F118"/>
    <mergeCell ref="G117:G118"/>
    <mergeCell ref="H117:H118"/>
    <mergeCell ref="I117:I118"/>
    <mergeCell ref="G93:G94"/>
    <mergeCell ref="H93:H94"/>
    <mergeCell ref="E112:E113"/>
    <mergeCell ref="F112:F113"/>
    <mergeCell ref="G112:G113"/>
    <mergeCell ref="H112:H113"/>
    <mergeCell ref="H114:H116"/>
    <mergeCell ref="E114:E116"/>
    <mergeCell ref="E117:E118"/>
    <mergeCell ref="E119:E120"/>
    <mergeCell ref="F119:F120"/>
    <mergeCell ref="G119:G120"/>
    <mergeCell ref="H119:H120"/>
    <mergeCell ref="I119:I120"/>
    <mergeCell ref="F8:F10"/>
    <mergeCell ref="G8:G10"/>
    <mergeCell ref="H8:H10"/>
    <mergeCell ref="I8:I10"/>
    <mergeCell ref="K7:L7"/>
    <mergeCell ref="K8:L8"/>
    <mergeCell ref="M8:N8"/>
    <mergeCell ref="O8:P8"/>
    <mergeCell ref="E11:E13"/>
    <mergeCell ref="F11:F13"/>
    <mergeCell ref="G11:G13"/>
    <mergeCell ref="H11:H13"/>
    <mergeCell ref="E14:E16"/>
    <mergeCell ref="F14:F16"/>
    <mergeCell ref="M14:N14"/>
    <mergeCell ref="M19:N19"/>
    <mergeCell ref="O19:P19"/>
    <mergeCell ref="I11:I13"/>
    <mergeCell ref="K11:L11"/>
    <mergeCell ref="M11:N11"/>
    <mergeCell ref="O11:P11"/>
    <mergeCell ref="Q11:R11"/>
    <mergeCell ref="O14:P14"/>
    <mergeCell ref="Q14:R14"/>
    <mergeCell ref="G14:G16"/>
    <mergeCell ref="H14:H16"/>
    <mergeCell ref="I14:I16"/>
    <mergeCell ref="K14:L14"/>
    <mergeCell ref="E17:E18"/>
    <mergeCell ref="F17:F18"/>
    <mergeCell ref="G17:G18"/>
    <mergeCell ref="H17:H18"/>
    <mergeCell ref="E8:E10"/>
    <mergeCell ref="E19:E21"/>
    <mergeCell ref="F19:F21"/>
    <mergeCell ref="G19:G21"/>
    <mergeCell ref="H19:H21"/>
    <mergeCell ref="I19:I21"/>
    <mergeCell ref="M33:N33"/>
    <mergeCell ref="O33:P33"/>
    <mergeCell ref="H30:H32"/>
    <mergeCell ref="I30:I32"/>
    <mergeCell ref="K30:L30"/>
    <mergeCell ref="M30:N30"/>
    <mergeCell ref="O30:P30"/>
    <mergeCell ref="Q30:R30"/>
    <mergeCell ref="K33:L33"/>
    <mergeCell ref="Q33:R33"/>
    <mergeCell ref="I17:I18"/>
    <mergeCell ref="E22:E23"/>
    <mergeCell ref="F22:F23"/>
    <mergeCell ref="G22:G23"/>
    <mergeCell ref="H22:H23"/>
    <mergeCell ref="I22:I23"/>
    <mergeCell ref="I24:I25"/>
    <mergeCell ref="K27:L27"/>
    <mergeCell ref="M27:N27"/>
    <mergeCell ref="O27:P27"/>
    <mergeCell ref="B3:L3"/>
    <mergeCell ref="B4:L4"/>
    <mergeCell ref="B5:L5"/>
    <mergeCell ref="B8:B25"/>
    <mergeCell ref="C8:C25"/>
    <mergeCell ref="J8:J25"/>
    <mergeCell ref="K19:L19"/>
    <mergeCell ref="E30:E32"/>
    <mergeCell ref="E33:E35"/>
    <mergeCell ref="G33:G35"/>
    <mergeCell ref="H33:H35"/>
    <mergeCell ref="E38:E40"/>
    <mergeCell ref="F38:F40"/>
    <mergeCell ref="K38:L38"/>
    <mergeCell ref="M38:N38"/>
    <mergeCell ref="O38:P38"/>
    <mergeCell ref="O49:P49"/>
    <mergeCell ref="Q49:R49"/>
    <mergeCell ref="K52:L52"/>
    <mergeCell ref="M52:N52"/>
    <mergeCell ref="O52:P52"/>
    <mergeCell ref="Q52:R52"/>
    <mergeCell ref="E41:E42"/>
    <mergeCell ref="F41:F42"/>
    <mergeCell ref="K46:L46"/>
    <mergeCell ref="M46:N46"/>
    <mergeCell ref="O46:P46"/>
    <mergeCell ref="K49:L49"/>
    <mergeCell ref="M49:N49"/>
    <mergeCell ref="O71:P71"/>
    <mergeCell ref="Q71:R71"/>
    <mergeCell ref="K65:L65"/>
    <mergeCell ref="K68:L68"/>
    <mergeCell ref="M68:N68"/>
    <mergeCell ref="O68:P68"/>
    <mergeCell ref="Q68:R68"/>
    <mergeCell ref="K71:L71"/>
    <mergeCell ref="M71:N71"/>
    <mergeCell ref="G49:G51"/>
    <mergeCell ref="G55:G56"/>
    <mergeCell ref="H55:H56"/>
    <mergeCell ref="I55:I56"/>
    <mergeCell ref="K57:L57"/>
    <mergeCell ref="M57:N57"/>
    <mergeCell ref="O57:P57"/>
    <mergeCell ref="G57:G59"/>
    <mergeCell ref="H57:H59"/>
    <mergeCell ref="I57:I59"/>
    <mergeCell ref="G60:G61"/>
    <mergeCell ref="H60:H61"/>
    <mergeCell ref="I60:I61"/>
    <mergeCell ref="G43:G44"/>
    <mergeCell ref="H43:H44"/>
    <mergeCell ref="G46:G48"/>
    <mergeCell ref="H46:H48"/>
    <mergeCell ref="I46:I48"/>
    <mergeCell ref="J46:J63"/>
    <mergeCell ref="I52:I54"/>
    <mergeCell ref="I62:I63"/>
    <mergeCell ref="G62:G63"/>
    <mergeCell ref="H62:H63"/>
    <mergeCell ref="G65:G67"/>
    <mergeCell ref="H65:H67"/>
    <mergeCell ref="I65:I67"/>
    <mergeCell ref="M65:N65"/>
    <mergeCell ref="O65:P65"/>
    <mergeCell ref="K76:L76"/>
    <mergeCell ref="M76:N76"/>
    <mergeCell ref="O76:P76"/>
    <mergeCell ref="E71:E73"/>
    <mergeCell ref="E74:E75"/>
    <mergeCell ref="E76:E78"/>
    <mergeCell ref="E79:E80"/>
    <mergeCell ref="E81:E82"/>
    <mergeCell ref="E84:E86"/>
    <mergeCell ref="F74:F75"/>
    <mergeCell ref="F76:F78"/>
    <mergeCell ref="F79:F80"/>
    <mergeCell ref="F81:F82"/>
    <mergeCell ref="F84:F86"/>
    <mergeCell ref="G84:G86"/>
    <mergeCell ref="H84:H86"/>
    <mergeCell ref="K84:L84"/>
    <mergeCell ref="M84:N84"/>
    <mergeCell ref="O84:P84"/>
    <mergeCell ref="K87:L87"/>
    <mergeCell ref="M87:N87"/>
    <mergeCell ref="O87:P87"/>
    <mergeCell ref="Q87:R87"/>
    <mergeCell ref="K90:L90"/>
    <mergeCell ref="M90:N90"/>
    <mergeCell ref="O90:P90"/>
    <mergeCell ref="Q90:R90"/>
    <mergeCell ref="K95:L95"/>
    <mergeCell ref="M95:N95"/>
    <mergeCell ref="O95:P95"/>
    <mergeCell ref="K103:L103"/>
    <mergeCell ref="M103:N103"/>
    <mergeCell ref="O103:P103"/>
    <mergeCell ref="K106:L106"/>
    <mergeCell ref="M106:N106"/>
    <mergeCell ref="O106:P106"/>
    <mergeCell ref="Q106:R106"/>
    <mergeCell ref="K109:L109"/>
    <mergeCell ref="M109:N109"/>
    <mergeCell ref="O109:P109"/>
    <mergeCell ref="Q109:R109"/>
    <mergeCell ref="K114:L114"/>
    <mergeCell ref="M114:N114"/>
    <mergeCell ref="O114:P114"/>
    <mergeCell ref="K128:L128"/>
    <mergeCell ref="M128:N128"/>
    <mergeCell ref="O128:P128"/>
    <mergeCell ref="Q128:R128"/>
    <mergeCell ref="K133:L133"/>
    <mergeCell ref="M133:N133"/>
    <mergeCell ref="O133:P133"/>
    <mergeCell ref="K122:L122"/>
    <mergeCell ref="M122:N122"/>
    <mergeCell ref="O122:P122"/>
    <mergeCell ref="K125:L125"/>
    <mergeCell ref="M125:N125"/>
    <mergeCell ref="O125:P125"/>
    <mergeCell ref="Q125:R125"/>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1.22" defaultRowHeight="15.0"/>
  <cols>
    <col customWidth="1" min="1" max="1" width="3.22"/>
    <col customWidth="1" min="2" max="2" width="22.33"/>
    <col customWidth="1" min="3" max="3" width="32.67"/>
    <col customWidth="1" min="4" max="4" width="7.22"/>
    <col customWidth="1" min="5" max="6" width="8.56"/>
    <col customWidth="1" min="7" max="7" width="4.44"/>
    <col customWidth="1" min="8" max="8" width="8.56"/>
    <col customWidth="1" min="9" max="9" width="8.89"/>
    <col customWidth="1" min="10" max="10" width="5.33"/>
    <col customWidth="1" min="11" max="11" width="10.33"/>
    <col customWidth="1" min="12" max="12" width="9.11"/>
    <col customWidth="1" min="13" max="13" width="5.33"/>
    <col customWidth="1" min="14" max="14" width="8.44"/>
    <col customWidth="1" min="15" max="15" width="8.33"/>
    <col customWidth="1" min="16" max="16" width="5.44"/>
    <col customWidth="1" min="17" max="17" width="9.0"/>
    <col customWidth="1" min="18" max="18" width="8.22"/>
    <col customWidth="1" min="19" max="19" width="5.11"/>
    <col customWidth="1" min="20" max="20" width="13.33"/>
    <col customWidth="1" min="21" max="21" width="15.56"/>
    <col customWidth="1" min="22" max="22" width="5.67"/>
    <col customWidth="1" min="23" max="23" width="9.0"/>
    <col customWidth="1" min="24" max="24" width="8.22"/>
    <col customWidth="1" min="25" max="25" width="5.11"/>
    <col customWidth="1" min="28" max="28" width="6.56"/>
  </cols>
  <sheetData>
    <row r="2">
      <c r="A2" s="165" t="str">
        <f>IFERROR(__xludf.DUMMYFUNCTION("IMPORTRANGE(""https://docs.google.com/spreadsheets/d/1k5dEibec4ivVVaBFzPOLHX-_Q0mX-3_HGTZB49knk78/edit"", ""Rekap Capaian Individu!A2:AC4"")"),"")</f>
        <v/>
      </c>
      <c r="B2" s="165"/>
      <c r="C2" s="165"/>
      <c r="D2" s="165"/>
      <c r="E2" s="165"/>
      <c r="F2" s="165"/>
      <c r="G2" s="165"/>
      <c r="H2" s="165"/>
      <c r="I2" s="165"/>
      <c r="J2" s="165"/>
      <c r="K2" s="165"/>
      <c r="L2" s="165"/>
      <c r="M2" s="165"/>
      <c r="N2" s="165"/>
      <c r="O2" s="165"/>
      <c r="P2" s="165"/>
      <c r="Q2" s="165"/>
      <c r="R2" s="165"/>
      <c r="S2" s="165"/>
      <c r="T2" s="165"/>
      <c r="U2" s="165"/>
      <c r="V2" s="165"/>
      <c r="W2" s="165"/>
      <c r="X2" s="165"/>
      <c r="Y2" s="165"/>
      <c r="Z2" s="165"/>
      <c r="AA2" s="165"/>
      <c r="AB2" s="165"/>
      <c r="AC2" s="165"/>
    </row>
    <row r="3">
      <c r="A3" s="165"/>
      <c r="B3" s="165"/>
      <c r="C3" s="165"/>
      <c r="D3" s="165"/>
      <c r="E3" s="165"/>
      <c r="F3" s="165"/>
      <c r="G3" s="165"/>
      <c r="H3" s="165"/>
      <c r="I3" s="165"/>
      <c r="J3" s="165"/>
      <c r="K3" s="165"/>
      <c r="L3" s="165"/>
      <c r="M3" s="165"/>
      <c r="N3" s="165"/>
      <c r="O3" s="165"/>
      <c r="P3" s="165"/>
      <c r="Q3" s="165"/>
      <c r="R3" s="165"/>
      <c r="S3" s="165"/>
      <c r="T3" s="165"/>
      <c r="U3" s="165"/>
      <c r="V3" s="165"/>
      <c r="W3" s="165"/>
      <c r="X3" s="165"/>
      <c r="Y3" s="165"/>
      <c r="Z3" s="165"/>
      <c r="AA3" s="165"/>
      <c r="AB3" s="165"/>
      <c r="AC3" s="165"/>
    </row>
    <row r="4">
      <c r="A4" s="165"/>
      <c r="B4" s="165"/>
      <c r="C4" s="165"/>
      <c r="D4" s="1012"/>
      <c r="E4" s="1013" t="str">
        <f>IFERROR(__xludf.DUMMYFUNCTION("""COMPUTED_VALUE"""),"PURWARUPA")</f>
        <v>PURWARUPA</v>
      </c>
      <c r="H4" s="1014" t="str">
        <f>IFERROR(__xludf.DUMMYFUNCTION("""COMPUTED_VALUE"""),"KEKAYAAN INTELEKTUAL")</f>
        <v>KEKAYAAN INTELEKTUAL</v>
      </c>
      <c r="K4" s="1015" t="str">
        <f>IFERROR(__xludf.DUMMYFUNCTION("""COMPUTED_VALUE"""),"PUBLIKASI INTERNASIONAL")</f>
        <v>PUBLIKASI INTERNASIONAL</v>
      </c>
      <c r="N4" s="1016" t="str">
        <f>IFERROR(__xludf.DUMMYFUNCTION("""COMPUTED_VALUE"""),"SDM STUDI LANJUT")</f>
        <v>SDM STUDI LANJUT</v>
      </c>
      <c r="Q4" s="1017" t="str">
        <f>IFERROR(__xludf.DUMMYFUNCTION("""COMPUTED_VALUE"""),"POSTDOC/VISITING RSRCH")</f>
        <v>POSTDOC/VISITING RSRCH</v>
      </c>
      <c r="T4" s="1018" t="str">
        <f>IFERROR(__xludf.DUMMYFUNCTION("""COMPUTED_VALUE"""),"DANA EKS")</f>
        <v>DANA EKS</v>
      </c>
      <c r="W4" s="1019" t="str">
        <f>IFERROR(__xludf.DUMMYFUNCTION("""COMPUTED_VALUE"""),"SITASI")</f>
        <v>SITASI</v>
      </c>
      <c r="Z4" s="1019" t="str">
        <f>IFERROR(__xludf.DUMMYFUNCTION("""COMPUTED_VALUE"""),"PUBLIKASI NASIONAL")</f>
        <v>PUBLIKASI NASIONAL</v>
      </c>
      <c r="AC4" s="165"/>
    </row>
    <row r="5">
      <c r="A5" s="977" t="str">
        <f>IFERROR(__xludf.DUMMYFUNCTION("IMPORTRANGE(""https://docs.google.com/spreadsheets/d/1k5dEibec4ivVVaBFzPOLHX-_Q0mX-3_HGTZB49knk78/edit"", ""Rekap Capaian Individu!A5:A120"")"),"NO")</f>
        <v>NO</v>
      </c>
      <c r="B5" s="1020" t="s">
        <v>10</v>
      </c>
      <c r="C5" s="1020" t="str">
        <f>IFERROR(__xludf.DUMMYFUNCTION("IMPORTRANGE(""https://docs.google.com/spreadsheets/d/1k5dEibec4ivVVaBFzPOLHX-_Q0mX-3_HGTZB49knk78/edit"", ""Rekap Capaian Individu!C5:C120"")"),"NAMA PERISET")</f>
        <v>NAMA PERISET</v>
      </c>
      <c r="D5" s="1020" t="s">
        <v>952</v>
      </c>
      <c r="E5" s="1021" t="s">
        <v>942</v>
      </c>
      <c r="F5" s="1021" t="str">
        <f>IFERROR(__xludf.DUMMYFUNCTION("IMPORTRANGE(""https://docs.google.com/spreadsheets/d/1k5dEibec4ivVVaBFzPOLHX-_Q0mX-3_HGTZB49knk78/edit"", ""Rekap Capaian Individu!F5:G120"")"),"CAPAIAN")</f>
        <v>CAPAIAN</v>
      </c>
      <c r="G5" s="1021" t="str">
        <f>IFERROR(__xludf.DUMMYFUNCTION("""COMPUTED_VALUE"""),"%")</f>
        <v>%</v>
      </c>
      <c r="H5" s="1022" t="s">
        <v>942</v>
      </c>
      <c r="I5" s="1022" t="str">
        <f>IFERROR(__xludf.DUMMYFUNCTION("IMPORTRANGE(""https://docs.google.com/spreadsheets/d/1k5dEibec4ivVVaBFzPOLHX-_Q0mX-3_HGTZB49knk78/edit"", ""Rekap Capaian Individu!I5:J120"")"),"CAPAIAN")</f>
        <v>CAPAIAN</v>
      </c>
      <c r="J5" s="1022" t="str">
        <f>IFERROR(__xludf.DUMMYFUNCTION("""COMPUTED_VALUE"""),"%")</f>
        <v>%</v>
      </c>
      <c r="K5" s="1023" t="s">
        <v>942</v>
      </c>
      <c r="L5" s="1023" t="str">
        <f>IFERROR(__xludf.DUMMYFUNCTION("IMPORTRANGE(""https://docs.google.com/spreadsheets/d/1k5dEibec4ivVVaBFzPOLHX-_Q0mX-3_HGTZB49knk78/edit"", ""Rekap Capaian Individu!L5:M120"")"),"CAPAIAN")</f>
        <v>CAPAIAN</v>
      </c>
      <c r="M5" s="1023" t="str">
        <f>IFERROR(__xludf.DUMMYFUNCTION("""COMPUTED_VALUE"""),"%")</f>
        <v>%</v>
      </c>
      <c r="N5" s="1024" t="s">
        <v>942</v>
      </c>
      <c r="O5" s="1024" t="str">
        <f>IFERROR(__xludf.DUMMYFUNCTION("IMPORTRANGE(""https://docs.google.com/spreadsheets/d/1k5dEibec4ivVVaBFzPOLHX-_Q0mX-3_HGTZB49knk78/edit"", ""Rekap Capaian Individu!O5:P120"")"),"CAPAIAN")</f>
        <v>CAPAIAN</v>
      </c>
      <c r="P5" s="1024" t="str">
        <f>IFERROR(__xludf.DUMMYFUNCTION("""COMPUTED_VALUE"""),"%")</f>
        <v>%</v>
      </c>
      <c r="Q5" s="1025" t="s">
        <v>942</v>
      </c>
      <c r="R5" s="1025" t="str">
        <f>IFERROR(__xludf.DUMMYFUNCTION("IMPORTRANGE(""https://docs.google.com/spreadsheets/d/1k5dEibec4ivVVaBFzPOLHX-_Q0mX-3_HGTZB49knk78/edit"", ""Rekap Capaian Individu!R5:S120"")"),"CAPAIAN")</f>
        <v>CAPAIAN</v>
      </c>
      <c r="S5" s="1025" t="str">
        <f>IFERROR(__xludf.DUMMYFUNCTION("""COMPUTED_VALUE"""),"%")</f>
        <v>%</v>
      </c>
      <c r="T5" s="1026" t="s">
        <v>942</v>
      </c>
      <c r="U5" s="1026" t="str">
        <f>IFERROR(__xludf.DUMMYFUNCTION("IMPORTRANGE(""https://docs.google.com/spreadsheets/d/1k5dEibec4ivVVaBFzPOLHX-_Q0mX-3_HGTZB49knk78/edit"", ""Rekap Capaian Individu!U5:V120"")"),"CAPAIAN")</f>
        <v>CAPAIAN</v>
      </c>
      <c r="V5" s="1026" t="str">
        <f>IFERROR(__xludf.DUMMYFUNCTION("""COMPUTED_VALUE"""),"%")</f>
        <v>%</v>
      </c>
      <c r="W5" s="1027" t="s">
        <v>942</v>
      </c>
      <c r="X5" s="1028" t="str">
        <f>IFERROR(__xludf.DUMMYFUNCTION("IMPORTRANGE(""https://docs.google.com/spreadsheets/d/1k5dEibec4ivVVaBFzPOLHX-_Q0mX-3_HGTZB49knk78/edit"", ""Rekap Capaian Individu!X5:Y120"")"),"CAPAIAN")</f>
        <v>CAPAIAN</v>
      </c>
      <c r="Y5" s="1029" t="str">
        <f>IFERROR(__xludf.DUMMYFUNCTION("""COMPUTED_VALUE"""),"%")</f>
        <v>%</v>
      </c>
      <c r="Z5" s="1027" t="s">
        <v>942</v>
      </c>
      <c r="AA5" s="1028" t="str">
        <f>IFERROR(__xludf.DUMMYFUNCTION("IMPORTRANGE(""https://docs.google.com/spreadsheets/d/1k5dEibec4ivVVaBFzPOLHX-_Q0mX-3_HGTZB49knk78/edit"", ""Rekap Capaian Individu!AA5:AB120"")"),"CAPAIAN")</f>
        <v>CAPAIAN</v>
      </c>
      <c r="AB5" s="1029" t="str">
        <f>IFERROR(__xludf.DUMMYFUNCTION("""COMPUTED_VALUE"""),"%")</f>
        <v>%</v>
      </c>
    </row>
    <row r="6">
      <c r="A6" s="1030">
        <f>IFERROR(__xludf.DUMMYFUNCTION("""COMPUTED_VALUE"""),1.0)</f>
        <v>1</v>
      </c>
      <c r="B6" s="1031" t="s">
        <v>34</v>
      </c>
      <c r="C6" s="768" t="str">
        <f>IFERROR(__xludf.DUMMYFUNCTION("""COMPUTED_VALUE"""),"Dr. Esa Prakasa, MT")</f>
        <v>Dr. Esa Prakasa, MT</v>
      </c>
      <c r="D6" s="700"/>
      <c r="E6" s="1032"/>
      <c r="F6" s="1033">
        <f>IFERROR(__xludf.DUMMYFUNCTION("""COMPUTED_VALUE"""),0.0)</f>
        <v>0</v>
      </c>
      <c r="G6" s="1034"/>
      <c r="H6" s="1035"/>
      <c r="I6" s="1036">
        <f>IFERROR(__xludf.DUMMYFUNCTION("""COMPUTED_VALUE"""),1.0)</f>
        <v>1</v>
      </c>
      <c r="J6" s="1037"/>
      <c r="K6" s="1038"/>
      <c r="L6" s="1039">
        <f>IFERROR(__xludf.DUMMYFUNCTION("""COMPUTED_VALUE"""),1.0)</f>
        <v>1</v>
      </c>
      <c r="M6" s="1040"/>
      <c r="N6" s="1041"/>
      <c r="O6" s="1042">
        <f>IFERROR(__xludf.DUMMYFUNCTION("""COMPUTED_VALUE"""),0.0)</f>
        <v>0</v>
      </c>
      <c r="P6" s="1041"/>
      <c r="Q6" s="1043"/>
      <c r="R6" s="1044">
        <f>IFERROR(__xludf.DUMMYFUNCTION("""COMPUTED_VALUE"""),0.0)</f>
        <v>0</v>
      </c>
      <c r="S6" s="1043"/>
      <c r="T6" s="1045"/>
      <c r="U6" s="1045" t="str">
        <f>IFERROR(__xludf.DUMMYFUNCTION("""COMPUTED_VALUE"""),"#VALUE!")</f>
        <v>#VALUE!</v>
      </c>
      <c r="V6" s="1046"/>
      <c r="W6" s="1047"/>
      <c r="X6" s="1048">
        <f>IFERROR(__xludf.DUMMYFUNCTION("""COMPUTED_VALUE"""),11.0)</f>
        <v>11</v>
      </c>
      <c r="Y6" s="1049"/>
      <c r="Z6" s="1047"/>
      <c r="AA6" s="1050">
        <f>IFERROR(__xludf.DUMMYFUNCTION("""COMPUTED_VALUE"""),0.0)</f>
        <v>0</v>
      </c>
      <c r="AB6" s="1051" t="str">
        <f>IFERROR(__xludf.DUMMYFUNCTION("""COMPUTED_VALUE"""),"#DIV/0!")</f>
        <v>#DIV/0!</v>
      </c>
      <c r="AC6" s="903"/>
    </row>
    <row r="7">
      <c r="A7" s="1030">
        <f>IFERROR(__xludf.DUMMYFUNCTION("""COMPUTED_VALUE"""),2.0)</f>
        <v>2</v>
      </c>
      <c r="B7" s="1031" t="s">
        <v>23</v>
      </c>
      <c r="C7" s="768" t="str">
        <f>IFERROR(__xludf.DUMMYFUNCTION("""COMPUTED_VALUE"""),"Dr. Purnomo Husnul Khotimah, M.T")</f>
        <v>Dr. Purnomo Husnul Khotimah, M.T</v>
      </c>
      <c r="D7" s="716"/>
      <c r="E7" s="1052"/>
      <c r="F7" s="1033">
        <f>IFERROR(__xludf.DUMMYFUNCTION("""COMPUTED_VALUE"""),0.0)</f>
        <v>0</v>
      </c>
      <c r="G7" s="1052"/>
      <c r="H7" s="1053"/>
      <c r="I7" s="1036">
        <f>IFERROR(__xludf.DUMMYFUNCTION("""COMPUTED_VALUE"""),0.0)</f>
        <v>0</v>
      </c>
      <c r="J7" s="1037"/>
      <c r="K7" s="1054"/>
      <c r="L7" s="1039">
        <f>IFERROR(__xludf.DUMMYFUNCTION("""COMPUTED_VALUE"""),1.0)</f>
        <v>1</v>
      </c>
      <c r="M7" s="1055"/>
      <c r="N7" s="1041"/>
      <c r="O7" s="1042">
        <f>IFERROR(__xludf.DUMMYFUNCTION("""COMPUTED_VALUE"""),0.0)</f>
        <v>0</v>
      </c>
      <c r="P7" s="1041"/>
      <c r="Q7" s="1043"/>
      <c r="R7" s="1044">
        <f>IFERROR(__xludf.DUMMYFUNCTION("""COMPUTED_VALUE"""),0.0)</f>
        <v>0</v>
      </c>
      <c r="S7" s="1043"/>
      <c r="T7" s="1045"/>
      <c r="U7" s="1045" t="str">
        <f>IFERROR(__xludf.DUMMYFUNCTION("""COMPUTED_VALUE"""),"#VALUE!")</f>
        <v>#VALUE!</v>
      </c>
      <c r="V7" s="1046"/>
      <c r="W7" s="1047"/>
      <c r="X7" s="1048">
        <f>IFERROR(__xludf.DUMMYFUNCTION("""COMPUTED_VALUE"""),10.0)</f>
        <v>10</v>
      </c>
      <c r="Y7" s="1049"/>
      <c r="Z7" s="1047"/>
      <c r="AA7" s="1050">
        <f>IFERROR(__xludf.DUMMYFUNCTION("""COMPUTED_VALUE"""),0.0)</f>
        <v>0</v>
      </c>
      <c r="AB7" s="1056" t="str">
        <f>IFERROR(__xludf.DUMMYFUNCTION("""COMPUTED_VALUE"""),"#DIV/0!")</f>
        <v>#DIV/0!</v>
      </c>
    </row>
    <row r="8">
      <c r="A8" s="1030">
        <f>IFERROR(__xludf.DUMMYFUNCTION("""COMPUTED_VALUE"""),3.0)</f>
        <v>3</v>
      </c>
      <c r="B8" s="1031" t="s">
        <v>23</v>
      </c>
      <c r="C8" s="768" t="str">
        <f>IFERROR(__xludf.DUMMYFUNCTION("""COMPUTED_VALUE"""),"Dr. Wiwin Suwarningsih, M.T.")</f>
        <v>Dr. Wiwin Suwarningsih, M.T.</v>
      </c>
      <c r="D8" s="716"/>
      <c r="E8" s="1034"/>
      <c r="F8" s="1033">
        <f>IFERROR(__xludf.DUMMYFUNCTION("""COMPUTED_VALUE"""),0.0)</f>
        <v>0</v>
      </c>
      <c r="G8" s="1034"/>
      <c r="H8" s="1057"/>
      <c r="I8" s="1036">
        <f>IFERROR(__xludf.DUMMYFUNCTION("""COMPUTED_VALUE"""),0.0)</f>
        <v>0</v>
      </c>
      <c r="J8" s="1037"/>
      <c r="K8" s="1054"/>
      <c r="L8" s="1039">
        <f>IFERROR(__xludf.DUMMYFUNCTION("""COMPUTED_VALUE"""),2.0)</f>
        <v>2</v>
      </c>
      <c r="M8" s="1055"/>
      <c r="N8" s="1041"/>
      <c r="O8" s="1042">
        <f>IFERROR(__xludf.DUMMYFUNCTION("""COMPUTED_VALUE"""),0.0)</f>
        <v>0</v>
      </c>
      <c r="P8" s="1058"/>
      <c r="Q8" s="1059"/>
      <c r="R8" s="1044">
        <f>IFERROR(__xludf.DUMMYFUNCTION("""COMPUTED_VALUE"""),0.0)</f>
        <v>0</v>
      </c>
      <c r="S8" s="1059"/>
      <c r="T8" s="1045"/>
      <c r="U8" s="1045" t="str">
        <f>IFERROR(__xludf.DUMMYFUNCTION("""COMPUTED_VALUE"""),"#VALUE!")</f>
        <v>#VALUE!</v>
      </c>
      <c r="V8" s="1046"/>
      <c r="W8" s="1060"/>
      <c r="X8" s="1048">
        <f>IFERROR(__xludf.DUMMYFUNCTION("""COMPUTED_VALUE"""),12.0)</f>
        <v>12</v>
      </c>
      <c r="Y8" s="1056"/>
      <c r="Z8" s="1047"/>
      <c r="AA8" s="1050">
        <f>IFERROR(__xludf.DUMMYFUNCTION("""COMPUTED_VALUE"""),0.0)</f>
        <v>0</v>
      </c>
      <c r="AB8" s="1056" t="str">
        <f>IFERROR(__xludf.DUMMYFUNCTION("""COMPUTED_VALUE"""),"#DIV/0!")</f>
        <v>#DIV/0!</v>
      </c>
    </row>
    <row r="9">
      <c r="A9" s="1030">
        <f>IFERROR(__xludf.DUMMYFUNCTION("""COMPUTED_VALUE"""),4.0)</f>
        <v>4</v>
      </c>
      <c r="B9" s="1031" t="s">
        <v>23</v>
      </c>
      <c r="C9" s="768" t="str">
        <f>IFERROR(__xludf.DUMMYFUNCTION("""COMPUTED_VALUE"""),"Ir. Dianadewi Riswantini, M.Sc.")</f>
        <v>Ir. Dianadewi Riswantini, M.Sc.</v>
      </c>
      <c r="D9" s="716"/>
      <c r="E9" s="1034"/>
      <c r="F9" s="1033">
        <f>IFERROR(__xludf.DUMMYFUNCTION("""COMPUTED_VALUE"""),0.0)</f>
        <v>0</v>
      </c>
      <c r="G9" s="1034"/>
      <c r="H9" s="1057"/>
      <c r="I9" s="1036">
        <f>IFERROR(__xludf.DUMMYFUNCTION("""COMPUTED_VALUE"""),0.0)</f>
        <v>0</v>
      </c>
      <c r="J9" s="1037"/>
      <c r="K9" s="1054"/>
      <c r="L9" s="1039">
        <f>IFERROR(__xludf.DUMMYFUNCTION("""COMPUTED_VALUE"""),1.0)</f>
        <v>1</v>
      </c>
      <c r="M9" s="1055"/>
      <c r="N9" s="1041"/>
      <c r="O9" s="1042">
        <f>IFERROR(__xludf.DUMMYFUNCTION("""COMPUTED_VALUE"""),0.0)</f>
        <v>0</v>
      </c>
      <c r="P9" s="1058"/>
      <c r="Q9" s="1059"/>
      <c r="R9" s="1044">
        <f>IFERROR(__xludf.DUMMYFUNCTION("""COMPUTED_VALUE"""),0.0)</f>
        <v>0</v>
      </c>
      <c r="S9" s="1059"/>
      <c r="T9" s="1045"/>
      <c r="U9" s="1045" t="str">
        <f>IFERROR(__xludf.DUMMYFUNCTION("""COMPUTED_VALUE"""),"#VALUE!")</f>
        <v>#VALUE!</v>
      </c>
      <c r="V9" s="1046"/>
      <c r="W9" s="1060"/>
      <c r="X9" s="1048">
        <f>IFERROR(__xludf.DUMMYFUNCTION("""COMPUTED_VALUE"""),13.0)</f>
        <v>13</v>
      </c>
      <c r="Y9" s="1056"/>
      <c r="Z9" s="1047"/>
      <c r="AA9" s="1050">
        <f>IFERROR(__xludf.DUMMYFUNCTION("""COMPUTED_VALUE"""),0.0)</f>
        <v>0</v>
      </c>
      <c r="AB9" s="1056" t="str">
        <f>IFERROR(__xludf.DUMMYFUNCTION("""COMPUTED_VALUE"""),"#DIV/0!")</f>
        <v>#DIV/0!</v>
      </c>
    </row>
    <row r="10">
      <c r="A10" s="1030">
        <f>IFERROR(__xludf.DUMMYFUNCTION("""COMPUTED_VALUE"""),5.0)</f>
        <v>5</v>
      </c>
      <c r="B10" s="1031" t="s">
        <v>23</v>
      </c>
      <c r="C10" s="768" t="str">
        <f>IFERROR(__xludf.DUMMYFUNCTION("""COMPUTED_VALUE"""),"Ekasari Nugraheni, M.T.")</f>
        <v>Ekasari Nugraheni, M.T.</v>
      </c>
      <c r="D10" s="716"/>
      <c r="E10" s="1034"/>
      <c r="F10" s="1033">
        <f>IFERROR(__xludf.DUMMYFUNCTION("""COMPUTED_VALUE"""),0.0)</f>
        <v>0</v>
      </c>
      <c r="G10" s="1034"/>
      <c r="H10" s="1057"/>
      <c r="I10" s="1036">
        <f>IFERROR(__xludf.DUMMYFUNCTION("""COMPUTED_VALUE"""),0.0)</f>
        <v>0</v>
      </c>
      <c r="J10" s="1037"/>
      <c r="K10" s="1054"/>
      <c r="L10" s="1039">
        <f>IFERROR(__xludf.DUMMYFUNCTION("""COMPUTED_VALUE"""),1.0)</f>
        <v>1</v>
      </c>
      <c r="M10" s="1040"/>
      <c r="N10" s="1041"/>
      <c r="O10" s="1042">
        <f>IFERROR(__xludf.DUMMYFUNCTION("""COMPUTED_VALUE"""),0.0)</f>
        <v>0</v>
      </c>
      <c r="P10" s="1058"/>
      <c r="Q10" s="1059"/>
      <c r="R10" s="1044">
        <f>IFERROR(__xludf.DUMMYFUNCTION("""COMPUTED_VALUE"""),0.0)</f>
        <v>0</v>
      </c>
      <c r="S10" s="1059"/>
      <c r="T10" s="1045"/>
      <c r="U10" s="1045" t="str">
        <f>IFERROR(__xludf.DUMMYFUNCTION("""COMPUTED_VALUE"""),"#VALUE!")</f>
        <v>#VALUE!</v>
      </c>
      <c r="V10" s="1046"/>
      <c r="W10" s="1060"/>
      <c r="X10" s="1048">
        <f>IFERROR(__xludf.DUMMYFUNCTION("""COMPUTED_VALUE"""),15.0)</f>
        <v>15</v>
      </c>
      <c r="Y10" s="1056"/>
      <c r="Z10" s="1047"/>
      <c r="AA10" s="1050">
        <f>IFERROR(__xludf.DUMMYFUNCTION("""COMPUTED_VALUE"""),0.0)</f>
        <v>0</v>
      </c>
      <c r="AB10" s="1051" t="str">
        <f>IFERROR(__xludf.DUMMYFUNCTION("""COMPUTED_VALUE"""),"#DIV/0!")</f>
        <v>#DIV/0!</v>
      </c>
    </row>
    <row r="11">
      <c r="A11" s="1030">
        <f>IFERROR(__xludf.DUMMYFUNCTION("""COMPUTED_VALUE"""),6.0)</f>
        <v>6</v>
      </c>
      <c r="B11" s="1031" t="s">
        <v>23</v>
      </c>
      <c r="C11" s="768" t="str">
        <f>IFERROR(__xludf.DUMMYFUNCTION("""COMPUTED_VALUE"""),"Andria Arisal, M. Eng.")</f>
        <v>Andria Arisal, M. Eng.</v>
      </c>
      <c r="D11" s="716"/>
      <c r="E11" s="1034"/>
      <c r="F11" s="1033">
        <f>IFERROR(__xludf.DUMMYFUNCTION("""COMPUTED_VALUE"""),0.0)</f>
        <v>0</v>
      </c>
      <c r="G11" s="1034"/>
      <c r="H11" s="1057"/>
      <c r="I11" s="1036">
        <f>IFERROR(__xludf.DUMMYFUNCTION("""COMPUTED_VALUE"""),1.0)</f>
        <v>1</v>
      </c>
      <c r="J11" s="1037"/>
      <c r="K11" s="1054"/>
      <c r="L11" s="1039">
        <f>IFERROR(__xludf.DUMMYFUNCTION("""COMPUTED_VALUE"""),1.0)</f>
        <v>1</v>
      </c>
      <c r="M11" s="1040"/>
      <c r="N11" s="1041"/>
      <c r="O11" s="1042">
        <f>IFERROR(__xludf.DUMMYFUNCTION("""COMPUTED_VALUE"""),0.0)</f>
        <v>0</v>
      </c>
      <c r="P11" s="1058"/>
      <c r="Q11" s="1059"/>
      <c r="R11" s="1044">
        <f>IFERROR(__xludf.DUMMYFUNCTION("""COMPUTED_VALUE"""),1.0)</f>
        <v>1</v>
      </c>
      <c r="S11" s="1059"/>
      <c r="T11" s="1045"/>
      <c r="U11" s="1045" t="str">
        <f>IFERROR(__xludf.DUMMYFUNCTION("""COMPUTED_VALUE"""),"#VALUE!")</f>
        <v>#VALUE!</v>
      </c>
      <c r="V11" s="1046"/>
      <c r="W11" s="1060"/>
      <c r="X11" s="1048">
        <f>IFERROR(__xludf.DUMMYFUNCTION("""COMPUTED_VALUE"""),26.0)</f>
        <v>26</v>
      </c>
      <c r="Y11" s="1056"/>
      <c r="Z11" s="1047"/>
      <c r="AA11" s="1050">
        <f>IFERROR(__xludf.DUMMYFUNCTION("""COMPUTED_VALUE"""),0.0)</f>
        <v>0</v>
      </c>
      <c r="AB11" s="1051" t="str">
        <f>IFERROR(__xludf.DUMMYFUNCTION("""COMPUTED_VALUE"""),"#DIV/0!")</f>
        <v>#DIV/0!</v>
      </c>
    </row>
    <row r="12">
      <c r="A12" s="1030">
        <f>IFERROR(__xludf.DUMMYFUNCTION("""COMPUTED_VALUE"""),7.0)</f>
        <v>7</v>
      </c>
      <c r="B12" s="1031" t="s">
        <v>23</v>
      </c>
      <c r="C12" s="768" t="str">
        <f>IFERROR(__xludf.DUMMYFUNCTION("""COMPUTED_VALUE"""),"Andri Fachrur Rozie, M. Eng.")</f>
        <v>Andri Fachrur Rozie, M. Eng.</v>
      </c>
      <c r="D12" s="716"/>
      <c r="E12" s="1034"/>
      <c r="F12" s="1033">
        <f>IFERROR(__xludf.DUMMYFUNCTION("""COMPUTED_VALUE"""),0.0)</f>
        <v>0</v>
      </c>
      <c r="G12" s="1034"/>
      <c r="H12" s="1057"/>
      <c r="I12" s="1036">
        <f>IFERROR(__xludf.DUMMYFUNCTION("""COMPUTED_VALUE"""),0.0)</f>
        <v>0</v>
      </c>
      <c r="J12" s="1037"/>
      <c r="K12" s="1054"/>
      <c r="L12" s="1039">
        <f>IFERROR(__xludf.DUMMYFUNCTION("""COMPUTED_VALUE"""),1.0)</f>
        <v>1</v>
      </c>
      <c r="M12" s="1055"/>
      <c r="N12" s="1041"/>
      <c r="O12" s="1042">
        <f>IFERROR(__xludf.DUMMYFUNCTION("""COMPUTED_VALUE"""),0.0)</f>
        <v>0</v>
      </c>
      <c r="P12" s="1061"/>
      <c r="Q12" s="1062"/>
      <c r="R12" s="1044">
        <f>IFERROR(__xludf.DUMMYFUNCTION("""COMPUTED_VALUE"""),0.0)</f>
        <v>0</v>
      </c>
      <c r="S12" s="1062"/>
      <c r="T12" s="1045"/>
      <c r="U12" s="1045" t="str">
        <f>IFERROR(__xludf.DUMMYFUNCTION("""COMPUTED_VALUE"""),"#VALUE!")</f>
        <v>#VALUE!</v>
      </c>
      <c r="V12" s="1046"/>
      <c r="W12" s="1063"/>
      <c r="X12" s="1048">
        <f>IFERROR(__xludf.DUMMYFUNCTION("""COMPUTED_VALUE"""),13.0)</f>
        <v>13</v>
      </c>
      <c r="Y12" s="1051"/>
      <c r="Z12" s="1047"/>
      <c r="AA12" s="1050">
        <f>IFERROR(__xludf.DUMMYFUNCTION("""COMPUTED_VALUE"""),0.0)</f>
        <v>0</v>
      </c>
      <c r="AB12" s="1056" t="str">
        <f>IFERROR(__xludf.DUMMYFUNCTION("""COMPUTED_VALUE"""),"#DIV/0!")</f>
        <v>#DIV/0!</v>
      </c>
    </row>
    <row r="13">
      <c r="A13" s="1030">
        <f>IFERROR(__xludf.DUMMYFUNCTION("""COMPUTED_VALUE"""),8.0)</f>
        <v>8</v>
      </c>
      <c r="B13" s="1031" t="s">
        <v>23</v>
      </c>
      <c r="C13" s="768" t="str">
        <f>IFERROR(__xludf.DUMMYFUNCTION("""COMPUTED_VALUE"""),"Devi Munandar, S. Kom, M. Si")</f>
        <v>Devi Munandar, S. Kom, M. Si</v>
      </c>
      <c r="D13" s="700"/>
      <c r="E13" s="1034"/>
      <c r="F13" s="1033">
        <f>IFERROR(__xludf.DUMMYFUNCTION("""COMPUTED_VALUE"""),0.0)</f>
        <v>0</v>
      </c>
      <c r="G13" s="1034"/>
      <c r="H13" s="1057"/>
      <c r="I13" s="1036">
        <f>IFERROR(__xludf.DUMMYFUNCTION("""COMPUTED_VALUE"""),0.0)</f>
        <v>0</v>
      </c>
      <c r="J13" s="1037"/>
      <c r="K13" s="1054"/>
      <c r="L13" s="1039">
        <f>IFERROR(__xludf.DUMMYFUNCTION("""COMPUTED_VALUE"""),1.0)</f>
        <v>1</v>
      </c>
      <c r="M13" s="1055"/>
      <c r="N13" s="1041"/>
      <c r="O13" s="1042">
        <f>IFERROR(__xludf.DUMMYFUNCTION("""COMPUTED_VALUE"""),0.0)</f>
        <v>0</v>
      </c>
      <c r="P13" s="1058"/>
      <c r="Q13" s="1059"/>
      <c r="R13" s="1044">
        <f>IFERROR(__xludf.DUMMYFUNCTION("""COMPUTED_VALUE"""),0.0)</f>
        <v>0</v>
      </c>
      <c r="S13" s="1059"/>
      <c r="T13" s="1045"/>
      <c r="U13" s="1045" t="str">
        <f>IFERROR(__xludf.DUMMYFUNCTION("""COMPUTED_VALUE"""),"#VALUE!")</f>
        <v>#VALUE!</v>
      </c>
      <c r="V13" s="1046"/>
      <c r="W13" s="1060"/>
      <c r="X13" s="1048">
        <f>IFERROR(__xludf.DUMMYFUNCTION("""COMPUTED_VALUE"""),13.0)</f>
        <v>13</v>
      </c>
      <c r="Y13" s="1056"/>
      <c r="Z13" s="1047"/>
      <c r="AA13" s="1050">
        <f>IFERROR(__xludf.DUMMYFUNCTION("""COMPUTED_VALUE"""),0.0)</f>
        <v>0</v>
      </c>
      <c r="AB13" s="1056" t="str">
        <f>IFERROR(__xludf.DUMMYFUNCTION("""COMPUTED_VALUE"""),"#DIV/0!")</f>
        <v>#DIV/0!</v>
      </c>
    </row>
    <row r="14">
      <c r="A14" s="1030">
        <f>IFERROR(__xludf.DUMMYFUNCTION("""COMPUTED_VALUE"""),9.0)</f>
        <v>9</v>
      </c>
      <c r="B14" s="1031" t="s">
        <v>23</v>
      </c>
      <c r="C14" s="768" t="str">
        <f>IFERROR(__xludf.DUMMYFUNCTION("""COMPUTED_VALUE"""),"Irfan Asfy Fakhry Anto S.Kom., M.T")</f>
        <v>Irfan Asfy Fakhry Anto S.Kom., M.T</v>
      </c>
      <c r="D14" s="716"/>
      <c r="E14" s="1034"/>
      <c r="F14" s="1033">
        <f>IFERROR(__xludf.DUMMYFUNCTION("""COMPUTED_VALUE"""),0.0)</f>
        <v>0</v>
      </c>
      <c r="G14" s="1034"/>
      <c r="H14" s="1057"/>
      <c r="I14" s="1036">
        <f>IFERROR(__xludf.DUMMYFUNCTION("""COMPUTED_VALUE"""),0.0)</f>
        <v>0</v>
      </c>
      <c r="J14" s="1037"/>
      <c r="K14" s="1054"/>
      <c r="L14" s="1039">
        <f>IFERROR(__xludf.DUMMYFUNCTION("""COMPUTED_VALUE"""),0.0)</f>
        <v>0</v>
      </c>
      <c r="M14" s="1040"/>
      <c r="N14" s="1041"/>
      <c r="O14" s="1042">
        <f>IFERROR(__xludf.DUMMYFUNCTION("""COMPUTED_VALUE"""),0.0)</f>
        <v>0</v>
      </c>
      <c r="P14" s="1058"/>
      <c r="Q14" s="1059"/>
      <c r="R14" s="1044">
        <f>IFERROR(__xludf.DUMMYFUNCTION("""COMPUTED_VALUE"""),0.0)</f>
        <v>0</v>
      </c>
      <c r="S14" s="1059"/>
      <c r="T14" s="1045"/>
      <c r="U14" s="1045" t="str">
        <f>IFERROR(__xludf.DUMMYFUNCTION("""COMPUTED_VALUE"""),"#VALUE!")</f>
        <v>#VALUE!</v>
      </c>
      <c r="V14" s="1046"/>
      <c r="W14" s="1060"/>
      <c r="X14" s="1048">
        <f>IFERROR(__xludf.DUMMYFUNCTION("""COMPUTED_VALUE"""),8.0)</f>
        <v>8</v>
      </c>
      <c r="Y14" s="1056"/>
      <c r="Z14" s="1047"/>
      <c r="AA14" s="1050">
        <f>IFERROR(__xludf.DUMMYFUNCTION("""COMPUTED_VALUE"""),0.0)</f>
        <v>0</v>
      </c>
      <c r="AB14" s="1051" t="str">
        <f>IFERROR(__xludf.DUMMYFUNCTION("""COMPUTED_VALUE"""),"#DIV/0!")</f>
        <v>#DIV/0!</v>
      </c>
    </row>
    <row r="15">
      <c r="A15" s="1030">
        <f>IFERROR(__xludf.DUMMYFUNCTION("""COMPUTED_VALUE"""),10.0)</f>
        <v>10</v>
      </c>
      <c r="B15" s="1031" t="s">
        <v>23</v>
      </c>
      <c r="C15" s="768" t="str">
        <f>IFERROR(__xludf.DUMMYFUNCTION("""COMPUTED_VALUE"""),"Andre Sihombing S.Kom., M.Sc.")</f>
        <v>Andre Sihombing S.Kom., M.Sc.</v>
      </c>
      <c r="D15" s="716"/>
      <c r="E15" s="1034"/>
      <c r="F15" s="1033">
        <f>IFERROR(__xludf.DUMMYFUNCTION("""COMPUTED_VALUE"""),0.0)</f>
        <v>0</v>
      </c>
      <c r="G15" s="1034"/>
      <c r="H15" s="1057"/>
      <c r="I15" s="1036">
        <f>IFERROR(__xludf.DUMMYFUNCTION("""COMPUTED_VALUE"""),0.0)</f>
        <v>0</v>
      </c>
      <c r="J15" s="1037"/>
      <c r="K15" s="1054"/>
      <c r="L15" s="1039">
        <f>IFERROR(__xludf.DUMMYFUNCTION("""COMPUTED_VALUE"""),0.0)</f>
        <v>0</v>
      </c>
      <c r="M15" s="1040"/>
      <c r="N15" s="1041"/>
      <c r="O15" s="1042">
        <f>IFERROR(__xludf.DUMMYFUNCTION("""COMPUTED_VALUE"""),0.0)</f>
        <v>0</v>
      </c>
      <c r="P15" s="1058"/>
      <c r="Q15" s="1059"/>
      <c r="R15" s="1044">
        <f>IFERROR(__xludf.DUMMYFUNCTION("""COMPUTED_VALUE"""),0.0)</f>
        <v>0</v>
      </c>
      <c r="S15" s="1059"/>
      <c r="T15" s="1045"/>
      <c r="U15" s="1045" t="str">
        <f>IFERROR(__xludf.DUMMYFUNCTION("""COMPUTED_VALUE"""),"#VALUE!")</f>
        <v>#VALUE!</v>
      </c>
      <c r="V15" s="1046"/>
      <c r="W15" s="1060"/>
      <c r="X15" s="1048">
        <f>IFERROR(__xludf.DUMMYFUNCTION("""COMPUTED_VALUE"""),1.0)</f>
        <v>1</v>
      </c>
      <c r="Y15" s="1056"/>
      <c r="Z15" s="1047"/>
      <c r="AA15" s="1050">
        <f>IFERROR(__xludf.DUMMYFUNCTION("""COMPUTED_VALUE"""),0.0)</f>
        <v>0</v>
      </c>
      <c r="AB15" s="1051" t="str">
        <f>IFERROR(__xludf.DUMMYFUNCTION("""COMPUTED_VALUE"""),"#DIV/0!")</f>
        <v>#DIV/0!</v>
      </c>
    </row>
    <row r="16">
      <c r="A16" s="1030">
        <f>IFERROR(__xludf.DUMMYFUNCTION("""COMPUTED_VALUE"""),11.0)</f>
        <v>11</v>
      </c>
      <c r="B16" s="1031" t="s">
        <v>23</v>
      </c>
      <c r="C16" s="768" t="str">
        <f>IFERROR(__xludf.DUMMYFUNCTION("""COMPUTED_VALUE"""),"Dr. DIPL. ING (FH) Anne Parlina, M.P.")</f>
        <v>Dr. DIPL. ING (FH) Anne Parlina, M.P.</v>
      </c>
      <c r="D16" s="700"/>
      <c r="E16" s="1034"/>
      <c r="F16" s="1033">
        <f>IFERROR(__xludf.DUMMYFUNCTION("""COMPUTED_VALUE"""),0.0)</f>
        <v>0</v>
      </c>
      <c r="G16" s="1034"/>
      <c r="H16" s="1057"/>
      <c r="I16" s="1036">
        <f>IFERROR(__xludf.DUMMYFUNCTION("""COMPUTED_VALUE"""),0.0)</f>
        <v>0</v>
      </c>
      <c r="J16" s="1037"/>
      <c r="K16" s="1054"/>
      <c r="L16" s="1039">
        <f>IFERROR(__xludf.DUMMYFUNCTION("""COMPUTED_VALUE"""),0.0)</f>
        <v>0</v>
      </c>
      <c r="M16" s="1040"/>
      <c r="N16" s="1041"/>
      <c r="O16" s="1042">
        <f>IFERROR(__xludf.DUMMYFUNCTION("""COMPUTED_VALUE"""),0.0)</f>
        <v>0</v>
      </c>
      <c r="P16" s="1061"/>
      <c r="Q16" s="1062"/>
      <c r="R16" s="1044">
        <f>IFERROR(__xludf.DUMMYFUNCTION("""COMPUTED_VALUE"""),0.0)</f>
        <v>0</v>
      </c>
      <c r="S16" s="1062"/>
      <c r="T16" s="1045"/>
      <c r="U16" s="1045" t="str">
        <f>IFERROR(__xludf.DUMMYFUNCTION("""COMPUTED_VALUE"""),"#VALUE!")</f>
        <v>#VALUE!</v>
      </c>
      <c r="V16" s="1046"/>
      <c r="W16" s="1063"/>
      <c r="X16" s="1048">
        <f>IFERROR(__xludf.DUMMYFUNCTION("""COMPUTED_VALUE"""),20.0)</f>
        <v>20</v>
      </c>
      <c r="Y16" s="1051"/>
      <c r="Z16" s="1047"/>
      <c r="AA16" s="1050">
        <f>IFERROR(__xludf.DUMMYFUNCTION("""COMPUTED_VALUE"""),0.0)</f>
        <v>0</v>
      </c>
      <c r="AB16" s="1051" t="str">
        <f>IFERROR(__xludf.DUMMYFUNCTION("""COMPUTED_VALUE"""),"#DIV/0!")</f>
        <v>#DIV/0!</v>
      </c>
    </row>
    <row r="17">
      <c r="A17" s="1030">
        <f>IFERROR(__xludf.DUMMYFUNCTION("""COMPUTED_VALUE"""),12.0)</f>
        <v>12</v>
      </c>
      <c r="B17" s="1031" t="s">
        <v>23</v>
      </c>
      <c r="C17" s="768" t="str">
        <f>IFERROR(__xludf.DUMMYFUNCTION("""COMPUTED_VALUE"""),"Muh. Hafizh Izzaturrahim, S.Kom.")</f>
        <v>Muh. Hafizh Izzaturrahim, S.Kom.</v>
      </c>
      <c r="D17" s="700"/>
      <c r="E17" s="1034"/>
      <c r="F17" s="1033">
        <f>IFERROR(__xludf.DUMMYFUNCTION("""COMPUTED_VALUE"""),0.0)</f>
        <v>0</v>
      </c>
      <c r="G17" s="1034"/>
      <c r="H17" s="1057"/>
      <c r="I17" s="1036">
        <f>IFERROR(__xludf.DUMMYFUNCTION("""COMPUTED_VALUE"""),1.0)</f>
        <v>1</v>
      </c>
      <c r="J17" s="1037"/>
      <c r="K17" s="1054"/>
      <c r="L17" s="1039">
        <f>IFERROR(__xludf.DUMMYFUNCTION("""COMPUTED_VALUE"""),0.0)</f>
        <v>0</v>
      </c>
      <c r="M17" s="1055"/>
      <c r="N17" s="1041"/>
      <c r="O17" s="1042">
        <f>IFERROR(__xludf.DUMMYFUNCTION("""COMPUTED_VALUE"""),1.0)</f>
        <v>1</v>
      </c>
      <c r="P17" s="1061"/>
      <c r="Q17" s="1062"/>
      <c r="R17" s="1044">
        <f>IFERROR(__xludf.DUMMYFUNCTION("""COMPUTED_VALUE"""),0.0)</f>
        <v>0</v>
      </c>
      <c r="S17" s="1062"/>
      <c r="T17" s="1045"/>
      <c r="U17" s="1045" t="str">
        <f>IFERROR(__xludf.DUMMYFUNCTION("""COMPUTED_VALUE"""),"#VALUE!")</f>
        <v>#VALUE!</v>
      </c>
      <c r="V17" s="1046"/>
      <c r="W17" s="1063"/>
      <c r="X17" s="1048">
        <f>IFERROR(__xludf.DUMMYFUNCTION("""COMPUTED_VALUE"""),2.0)</f>
        <v>2</v>
      </c>
      <c r="Y17" s="1051"/>
      <c r="Z17" s="1047"/>
      <c r="AA17" s="1050">
        <f>IFERROR(__xludf.DUMMYFUNCTION("""COMPUTED_VALUE"""),0.0)</f>
        <v>0</v>
      </c>
      <c r="AB17" s="1056" t="str">
        <f>IFERROR(__xludf.DUMMYFUNCTION("""COMPUTED_VALUE"""),"#DIV/0!")</f>
        <v>#DIV/0!</v>
      </c>
    </row>
    <row r="18">
      <c r="A18" s="1030">
        <f>IFERROR(__xludf.DUMMYFUNCTION("""COMPUTED_VALUE"""),13.0)</f>
        <v>13</v>
      </c>
      <c r="B18" s="1031" t="s">
        <v>23</v>
      </c>
      <c r="C18" s="768" t="str">
        <f>IFERROR(__xludf.DUMMYFUNCTION("""COMPUTED_VALUE"""),"Dr. Eng. Lia Sadita, S.Kom, M.Eng")</f>
        <v>Dr. Eng. Lia Sadita, S.Kom, M.Eng</v>
      </c>
      <c r="D18" s="716"/>
      <c r="E18" s="1034"/>
      <c r="F18" s="1033">
        <f>IFERROR(__xludf.DUMMYFUNCTION("""COMPUTED_VALUE"""),0.0)</f>
        <v>0</v>
      </c>
      <c r="G18" s="1034"/>
      <c r="H18" s="1057"/>
      <c r="I18" s="1036">
        <f>IFERROR(__xludf.DUMMYFUNCTION("""COMPUTED_VALUE"""),0.0)</f>
        <v>0</v>
      </c>
      <c r="J18" s="1037"/>
      <c r="K18" s="1054"/>
      <c r="L18" s="1039">
        <f>IFERROR(__xludf.DUMMYFUNCTION("""COMPUTED_VALUE"""),0.0)</f>
        <v>0</v>
      </c>
      <c r="M18" s="1040"/>
      <c r="N18" s="1041"/>
      <c r="O18" s="1042">
        <f>IFERROR(__xludf.DUMMYFUNCTION("""COMPUTED_VALUE"""),0.0)</f>
        <v>0</v>
      </c>
      <c r="P18" s="1058"/>
      <c r="Q18" s="1059"/>
      <c r="R18" s="1044">
        <f>IFERROR(__xludf.DUMMYFUNCTION("""COMPUTED_VALUE"""),0.0)</f>
        <v>0</v>
      </c>
      <c r="S18" s="1059"/>
      <c r="T18" s="1045"/>
      <c r="U18" s="1045" t="str">
        <f>IFERROR(__xludf.DUMMYFUNCTION("""COMPUTED_VALUE"""),"#VALUE!")</f>
        <v>#VALUE!</v>
      </c>
      <c r="V18" s="1046"/>
      <c r="W18" s="1060"/>
      <c r="X18" s="1048">
        <f>IFERROR(__xludf.DUMMYFUNCTION("""COMPUTED_VALUE"""),10.0)</f>
        <v>10</v>
      </c>
      <c r="Y18" s="1056"/>
      <c r="Z18" s="1047"/>
      <c r="AA18" s="1050">
        <f>IFERROR(__xludf.DUMMYFUNCTION("""COMPUTED_VALUE"""),0.0)</f>
        <v>0</v>
      </c>
      <c r="AB18" s="1051" t="str">
        <f>IFERROR(__xludf.DUMMYFUNCTION("""COMPUTED_VALUE"""),"#DIV/0!")</f>
        <v>#DIV/0!</v>
      </c>
    </row>
    <row r="19">
      <c r="A19" s="1064">
        <f>IFERROR(__xludf.DUMMYFUNCTION("""COMPUTED_VALUE"""),14.0)</f>
        <v>14</v>
      </c>
      <c r="B19" s="1065" t="s">
        <v>23</v>
      </c>
      <c r="C19" s="768" t="str">
        <f>IFERROR(__xludf.DUMMYFUNCTION("""COMPUTED_VALUE"""),"Dr. Ira Maryati, S.TP,. M.P.")</f>
        <v>Dr. Ira Maryati, S.TP,. M.P.</v>
      </c>
      <c r="D19" s="700"/>
      <c r="E19" s="1034"/>
      <c r="F19" s="1033">
        <f>IFERROR(__xludf.DUMMYFUNCTION("""COMPUTED_VALUE"""),0.0)</f>
        <v>0</v>
      </c>
      <c r="G19" s="1034"/>
      <c r="H19" s="1057"/>
      <c r="I19" s="1036">
        <f>IFERROR(__xludf.DUMMYFUNCTION("""COMPUTED_VALUE"""),0.0)</f>
        <v>0</v>
      </c>
      <c r="J19" s="1037"/>
      <c r="K19" s="1054"/>
      <c r="L19" s="1039">
        <f>IFERROR(__xludf.DUMMYFUNCTION("""COMPUTED_VALUE"""),1.0)</f>
        <v>1</v>
      </c>
      <c r="M19" s="1055"/>
      <c r="N19" s="1041"/>
      <c r="O19" s="1042">
        <f>IFERROR(__xludf.DUMMYFUNCTION("""COMPUTED_VALUE"""),0.0)</f>
        <v>0</v>
      </c>
      <c r="P19" s="1058"/>
      <c r="Q19" s="1059"/>
      <c r="R19" s="1044">
        <f>IFERROR(__xludf.DUMMYFUNCTION("""COMPUTED_VALUE"""),0.0)</f>
        <v>0</v>
      </c>
      <c r="S19" s="1059"/>
      <c r="T19" s="1045"/>
      <c r="U19" s="1045" t="str">
        <f>IFERROR(__xludf.DUMMYFUNCTION("""COMPUTED_VALUE"""),"#VALUE!")</f>
        <v>#VALUE!</v>
      </c>
      <c r="V19" s="1046"/>
      <c r="W19" s="1060"/>
      <c r="X19" s="1048">
        <f>IFERROR(__xludf.DUMMYFUNCTION("""COMPUTED_VALUE"""),8.0)</f>
        <v>8</v>
      </c>
      <c r="Y19" s="1056"/>
      <c r="Z19" s="1066"/>
      <c r="AA19" s="1050">
        <f>IFERROR(__xludf.DUMMYFUNCTION("""COMPUTED_VALUE"""),0.0)</f>
        <v>0</v>
      </c>
      <c r="AB19" s="1067" t="str">
        <f>IFERROR(__xludf.DUMMYFUNCTION("""COMPUTED_VALUE"""),"#DIV/0!")</f>
        <v>#DIV/0!</v>
      </c>
    </row>
    <row r="20">
      <c r="A20" s="1030">
        <f>IFERROR(__xludf.DUMMYFUNCTION("""COMPUTED_VALUE"""),15.0)</f>
        <v>15</v>
      </c>
      <c r="B20" s="1068" t="s">
        <v>46</v>
      </c>
      <c r="C20" s="768" t="str">
        <f>IFERROR(__xludf.DUMMYFUNCTION("""COMPUTED_VALUE"""),"Dr. Foni Agus Setiawan, M.Kom.")</f>
        <v>Dr. Foni Agus Setiawan, M.Kom.</v>
      </c>
      <c r="D20" s="700"/>
      <c r="E20" s="1034"/>
      <c r="F20" s="1033">
        <f>IFERROR(__xludf.DUMMYFUNCTION("""COMPUTED_VALUE"""),0.0)</f>
        <v>0</v>
      </c>
      <c r="G20" s="1034"/>
      <c r="H20" s="1057"/>
      <c r="I20" s="1036">
        <f>IFERROR(__xludf.DUMMYFUNCTION("""COMPUTED_VALUE"""),0.0)</f>
        <v>0</v>
      </c>
      <c r="J20" s="1037"/>
      <c r="K20" s="1054"/>
      <c r="L20" s="1039">
        <f>IFERROR(__xludf.DUMMYFUNCTION("""COMPUTED_VALUE"""),1.0)</f>
        <v>1</v>
      </c>
      <c r="M20" s="1055"/>
      <c r="N20" s="1041"/>
      <c r="O20" s="1042">
        <f>IFERROR(__xludf.DUMMYFUNCTION("""COMPUTED_VALUE"""),0.0)</f>
        <v>0</v>
      </c>
      <c r="P20" s="1058"/>
      <c r="Q20" s="1059"/>
      <c r="R20" s="1044">
        <f>IFERROR(__xludf.DUMMYFUNCTION("""COMPUTED_VALUE"""),0.0)</f>
        <v>0</v>
      </c>
      <c r="S20" s="1059"/>
      <c r="T20" s="1045"/>
      <c r="U20" s="1045" t="str">
        <f>IFERROR(__xludf.DUMMYFUNCTION("""COMPUTED_VALUE"""),"#VALUE!")</f>
        <v>#VALUE!</v>
      </c>
      <c r="V20" s="1046"/>
      <c r="W20" s="1060"/>
      <c r="X20" s="1048">
        <f>IFERROR(__xludf.DUMMYFUNCTION("""COMPUTED_VALUE"""),12.0)</f>
        <v>12</v>
      </c>
      <c r="Y20" s="1056"/>
      <c r="Z20" s="1066"/>
      <c r="AA20" s="1050">
        <f>IFERROR(__xludf.DUMMYFUNCTION("""COMPUTED_VALUE"""),0.0)</f>
        <v>0</v>
      </c>
      <c r="AB20" s="1067" t="str">
        <f>IFERROR(__xludf.DUMMYFUNCTION("""COMPUTED_VALUE"""),"#DIV/0!")</f>
        <v>#DIV/0!</v>
      </c>
    </row>
    <row r="21" ht="15.75" customHeight="1">
      <c r="A21" s="1064">
        <f>IFERROR(__xludf.DUMMYFUNCTION("""COMPUTED_VALUE"""),16.0)</f>
        <v>16</v>
      </c>
      <c r="B21" s="1069" t="s">
        <v>46</v>
      </c>
      <c r="C21" s="768" t="str">
        <f>IFERROR(__xludf.DUMMYFUNCTION("""COMPUTED_VALUE"""),"Al Hafiz Akbar Maulana Siagian, Ph.D.")</f>
        <v>Al Hafiz Akbar Maulana Siagian, Ph.D.</v>
      </c>
      <c r="D21" s="716"/>
      <c r="E21" s="1034"/>
      <c r="F21" s="1033">
        <f>IFERROR(__xludf.DUMMYFUNCTION("""COMPUTED_VALUE"""),0.0)</f>
        <v>0</v>
      </c>
      <c r="G21" s="1034"/>
      <c r="H21" s="1057"/>
      <c r="I21" s="1036">
        <f>IFERROR(__xludf.DUMMYFUNCTION("""COMPUTED_VALUE"""),0.0)</f>
        <v>0</v>
      </c>
      <c r="J21" s="1037"/>
      <c r="K21" s="1054"/>
      <c r="L21" s="1039">
        <f>IFERROR(__xludf.DUMMYFUNCTION("""COMPUTED_VALUE"""),0.0)</f>
        <v>0</v>
      </c>
      <c r="M21" s="1040"/>
      <c r="N21" s="1041"/>
      <c r="O21" s="1042">
        <f>IFERROR(__xludf.DUMMYFUNCTION("""COMPUTED_VALUE"""),0.0)</f>
        <v>0</v>
      </c>
      <c r="P21" s="1070"/>
      <c r="Q21" s="1071"/>
      <c r="R21" s="1044">
        <f>IFERROR(__xludf.DUMMYFUNCTION("""COMPUTED_VALUE"""),0.0)</f>
        <v>0</v>
      </c>
      <c r="S21" s="1071"/>
      <c r="T21" s="1045"/>
      <c r="U21" s="1045" t="str">
        <f>IFERROR(__xludf.DUMMYFUNCTION("""COMPUTED_VALUE"""),"#VALUE!")</f>
        <v>#VALUE!</v>
      </c>
      <c r="V21" s="1046"/>
      <c r="W21" s="1072"/>
      <c r="X21" s="1048">
        <f>IFERROR(__xludf.DUMMYFUNCTION("""COMPUTED_VALUE"""),9.0)</f>
        <v>9</v>
      </c>
      <c r="Y21" s="1073"/>
      <c r="Z21" s="1047"/>
      <c r="AA21" s="1050">
        <f>IFERROR(__xludf.DUMMYFUNCTION("""COMPUTED_VALUE"""),0.0)</f>
        <v>0</v>
      </c>
      <c r="AB21" s="1051" t="str">
        <f>IFERROR(__xludf.DUMMYFUNCTION("""COMPUTED_VALUE"""),"#DIV/0!")</f>
        <v>#DIV/0!</v>
      </c>
    </row>
    <row r="22" ht="15.75" customHeight="1">
      <c r="A22" s="1030">
        <f>IFERROR(__xludf.DUMMYFUNCTION("""COMPUTED_VALUE"""),17.0)</f>
        <v>17</v>
      </c>
      <c r="B22" s="1031" t="s">
        <v>46</v>
      </c>
      <c r="C22" s="768" t="str">
        <f>IFERROR(__xludf.DUMMYFUNCTION("""COMPUTED_VALUE"""),"Dr. Tr. Lindung Parningotan Manik")</f>
        <v>Dr. Tr. Lindung Parningotan Manik</v>
      </c>
      <c r="D22" s="716"/>
      <c r="E22" s="1034"/>
      <c r="F22" s="1033">
        <f>IFERROR(__xludf.DUMMYFUNCTION("""COMPUTED_VALUE"""),0.0)</f>
        <v>0</v>
      </c>
      <c r="G22" s="1034"/>
      <c r="H22" s="1057"/>
      <c r="I22" s="1036">
        <f>IFERROR(__xludf.DUMMYFUNCTION("""COMPUTED_VALUE"""),0.0)</f>
        <v>0</v>
      </c>
      <c r="J22" s="1074"/>
      <c r="K22" s="1054"/>
      <c r="L22" s="1039">
        <f>IFERROR(__xludf.DUMMYFUNCTION("""COMPUTED_VALUE"""),2.0)</f>
        <v>2</v>
      </c>
      <c r="M22" s="1055"/>
      <c r="N22" s="1041"/>
      <c r="O22" s="1042">
        <f>IFERROR(__xludf.DUMMYFUNCTION("""COMPUTED_VALUE"""),0.0)</f>
        <v>0</v>
      </c>
      <c r="P22" s="1070"/>
      <c r="Q22" s="1071"/>
      <c r="R22" s="1044">
        <f>IFERROR(__xludf.DUMMYFUNCTION("""COMPUTED_VALUE"""),0.0)</f>
        <v>0</v>
      </c>
      <c r="S22" s="1071"/>
      <c r="T22" s="1045"/>
      <c r="U22" s="1045" t="str">
        <f>IFERROR(__xludf.DUMMYFUNCTION("""COMPUTED_VALUE"""),"#VALUE!")</f>
        <v>#VALUE!</v>
      </c>
      <c r="V22" s="1046"/>
      <c r="W22" s="1072"/>
      <c r="X22" s="1048">
        <f>IFERROR(__xludf.DUMMYFUNCTION("""COMPUTED_VALUE"""),19.0)</f>
        <v>19</v>
      </c>
      <c r="Y22" s="1073"/>
      <c r="Z22" s="1047"/>
      <c r="AA22" s="1050">
        <f>IFERROR(__xludf.DUMMYFUNCTION("""COMPUTED_VALUE"""),0.0)</f>
        <v>0</v>
      </c>
      <c r="AB22" s="1056" t="str">
        <f>IFERROR(__xludf.DUMMYFUNCTION("""COMPUTED_VALUE"""),"#DIV/0!")</f>
        <v>#DIV/0!</v>
      </c>
    </row>
    <row r="23" ht="15.75" customHeight="1">
      <c r="A23" s="1064">
        <f>IFERROR(__xludf.DUMMYFUNCTION("""COMPUTED_VALUE"""),18.0)</f>
        <v>18</v>
      </c>
      <c r="B23" s="1031" t="s">
        <v>46</v>
      </c>
      <c r="C23" s="768" t="str">
        <f>IFERROR(__xludf.DUMMYFUNCTION("""COMPUTED_VALUE"""),"Dr. Shidiq Al Hakim, M.Eng.")</f>
        <v>Dr. Shidiq Al Hakim, M.Eng.</v>
      </c>
      <c r="D23" s="700"/>
      <c r="E23" s="1034"/>
      <c r="F23" s="1033">
        <f>IFERROR(__xludf.DUMMYFUNCTION("""COMPUTED_VALUE"""),0.0)</f>
        <v>0</v>
      </c>
      <c r="G23" s="1034"/>
      <c r="H23" s="1057"/>
      <c r="I23" s="1036">
        <f>IFERROR(__xludf.DUMMYFUNCTION("""COMPUTED_VALUE"""),0.0)</f>
        <v>0</v>
      </c>
      <c r="J23" s="1074"/>
      <c r="K23" s="1054"/>
      <c r="L23" s="1039">
        <f>IFERROR(__xludf.DUMMYFUNCTION("""COMPUTED_VALUE"""),0.0)</f>
        <v>0</v>
      </c>
      <c r="M23" s="1040"/>
      <c r="N23" s="1041"/>
      <c r="O23" s="1042">
        <f>IFERROR(__xludf.DUMMYFUNCTION("""COMPUTED_VALUE"""),0.0)</f>
        <v>0</v>
      </c>
      <c r="P23" s="1070"/>
      <c r="Q23" s="1071"/>
      <c r="R23" s="1044">
        <f>IFERROR(__xludf.DUMMYFUNCTION("""COMPUTED_VALUE"""),0.0)</f>
        <v>0</v>
      </c>
      <c r="S23" s="1071"/>
      <c r="T23" s="1045"/>
      <c r="U23" s="1045" t="str">
        <f>IFERROR(__xludf.DUMMYFUNCTION("""COMPUTED_VALUE"""),"#VALUE!")</f>
        <v>#VALUE!</v>
      </c>
      <c r="V23" s="1046"/>
      <c r="W23" s="1072"/>
      <c r="X23" s="1048">
        <f>IFERROR(__xludf.DUMMYFUNCTION("""COMPUTED_VALUE"""),17.0)</f>
        <v>17</v>
      </c>
      <c r="Y23" s="1073"/>
      <c r="Z23" s="1047"/>
      <c r="AA23" s="1050">
        <f>IFERROR(__xludf.DUMMYFUNCTION("""COMPUTED_VALUE"""),0.0)</f>
        <v>0</v>
      </c>
      <c r="AB23" s="1051" t="str">
        <f>IFERROR(__xludf.DUMMYFUNCTION("""COMPUTED_VALUE"""),"#DIV/0!")</f>
        <v>#DIV/0!</v>
      </c>
    </row>
    <row r="24" ht="15.75" customHeight="1">
      <c r="A24" s="1030">
        <f>IFERROR(__xludf.DUMMYFUNCTION("""COMPUTED_VALUE"""),19.0)</f>
        <v>19</v>
      </c>
      <c r="B24" s="1031" t="s">
        <v>46</v>
      </c>
      <c r="C24" s="768" t="str">
        <f>IFERROR(__xludf.DUMMYFUNCTION("""COMPUTED_VALUE"""),"Siti Kania Kushadiani, S.T., M.Kom.")</f>
        <v>Siti Kania Kushadiani, S.T., M.Kom.</v>
      </c>
      <c r="D24" s="700"/>
      <c r="E24" s="1034"/>
      <c r="F24" s="1033">
        <f>IFERROR(__xludf.DUMMYFUNCTION("""COMPUTED_VALUE"""),0.0)</f>
        <v>0</v>
      </c>
      <c r="G24" s="1034"/>
      <c r="H24" s="1057"/>
      <c r="I24" s="1036">
        <f>IFERROR(__xludf.DUMMYFUNCTION("""COMPUTED_VALUE"""),0.0)</f>
        <v>0</v>
      </c>
      <c r="J24" s="1037"/>
      <c r="K24" s="1054"/>
      <c r="L24" s="1039">
        <f>IFERROR(__xludf.DUMMYFUNCTION("""COMPUTED_VALUE"""),0.0)</f>
        <v>0</v>
      </c>
      <c r="M24" s="1055"/>
      <c r="N24" s="1041"/>
      <c r="O24" s="1042">
        <f>IFERROR(__xludf.DUMMYFUNCTION("""COMPUTED_VALUE"""),0.0)</f>
        <v>0</v>
      </c>
      <c r="P24" s="1070"/>
      <c r="Q24" s="1071"/>
      <c r="R24" s="1044">
        <f>IFERROR(__xludf.DUMMYFUNCTION("""COMPUTED_VALUE"""),0.0)</f>
        <v>0</v>
      </c>
      <c r="S24" s="1071"/>
      <c r="T24" s="1045"/>
      <c r="U24" s="1045" t="str">
        <f>IFERROR(__xludf.DUMMYFUNCTION("""COMPUTED_VALUE"""),"#VALUE!")</f>
        <v>#VALUE!</v>
      </c>
      <c r="V24" s="1046"/>
      <c r="W24" s="1072"/>
      <c r="X24" s="1048">
        <f>IFERROR(__xludf.DUMMYFUNCTION("""COMPUTED_VALUE"""),6.0)</f>
        <v>6</v>
      </c>
      <c r="Y24" s="1073"/>
      <c r="Z24" s="1047"/>
      <c r="AA24" s="1050">
        <f>IFERROR(__xludf.DUMMYFUNCTION("""COMPUTED_VALUE"""),0.0)</f>
        <v>0</v>
      </c>
      <c r="AB24" s="1056" t="str">
        <f>IFERROR(__xludf.DUMMYFUNCTION("""COMPUTED_VALUE"""),"#DIV/0!")</f>
        <v>#DIV/0!</v>
      </c>
    </row>
    <row r="25" ht="15.75" customHeight="1">
      <c r="A25" s="1064">
        <f>IFERROR(__xludf.DUMMYFUNCTION("""COMPUTED_VALUE"""),20.0)</f>
        <v>20</v>
      </c>
      <c r="B25" s="1031" t="s">
        <v>46</v>
      </c>
      <c r="C25" s="768" t="str">
        <f>IFERROR(__xludf.DUMMYFUNCTION("""COMPUTED_VALUE"""),"Slamet Riyanto, S.Kom., M.M.S.I.")</f>
        <v>Slamet Riyanto, S.Kom., M.M.S.I.</v>
      </c>
      <c r="D25" s="700"/>
      <c r="E25" s="1034"/>
      <c r="F25" s="1033">
        <f>IFERROR(__xludf.DUMMYFUNCTION("""COMPUTED_VALUE"""),0.0)</f>
        <v>0</v>
      </c>
      <c r="G25" s="1034"/>
      <c r="H25" s="1057"/>
      <c r="I25" s="1036">
        <f>IFERROR(__xludf.DUMMYFUNCTION("""COMPUTED_VALUE"""),0.0)</f>
        <v>0</v>
      </c>
      <c r="J25" s="1074"/>
      <c r="K25" s="1054"/>
      <c r="L25" s="1039">
        <f>IFERROR(__xludf.DUMMYFUNCTION("""COMPUTED_VALUE"""),1.0)</f>
        <v>1</v>
      </c>
      <c r="M25" s="1040"/>
      <c r="N25" s="1041"/>
      <c r="O25" s="1042">
        <f>IFERROR(__xludf.DUMMYFUNCTION("""COMPUTED_VALUE"""),0.0)</f>
        <v>0</v>
      </c>
      <c r="P25" s="1058"/>
      <c r="Q25" s="1059"/>
      <c r="R25" s="1044">
        <f>IFERROR(__xludf.DUMMYFUNCTION("""COMPUTED_VALUE"""),0.0)</f>
        <v>0</v>
      </c>
      <c r="S25" s="1059"/>
      <c r="T25" s="1045"/>
      <c r="U25" s="1045" t="str">
        <f>IFERROR(__xludf.DUMMYFUNCTION("""COMPUTED_VALUE"""),"#VALUE!")</f>
        <v>#VALUE!</v>
      </c>
      <c r="V25" s="1046"/>
      <c r="W25" s="1060"/>
      <c r="X25" s="1048">
        <f>IFERROR(__xludf.DUMMYFUNCTION("""COMPUTED_VALUE"""),11.0)</f>
        <v>11</v>
      </c>
      <c r="Y25" s="1056"/>
      <c r="Z25" s="1047"/>
      <c r="AA25" s="1050">
        <f>IFERROR(__xludf.DUMMYFUNCTION("""COMPUTED_VALUE"""),0.0)</f>
        <v>0</v>
      </c>
      <c r="AB25" s="1051" t="str">
        <f>IFERROR(__xludf.DUMMYFUNCTION("""COMPUTED_VALUE"""),"#DIV/0!")</f>
        <v>#DIV/0!</v>
      </c>
    </row>
    <row r="26" ht="15.75" customHeight="1">
      <c r="A26" s="1030">
        <f>IFERROR(__xludf.DUMMYFUNCTION("""COMPUTED_VALUE"""),21.0)</f>
        <v>21</v>
      </c>
      <c r="B26" s="1031" t="s">
        <v>46</v>
      </c>
      <c r="C26" s="768" t="str">
        <f>IFERROR(__xludf.DUMMYFUNCTION("""COMPUTED_VALUE"""),"Wawan Hendriawan Nur, S.Si., M.T.")</f>
        <v>Wawan Hendriawan Nur, S.Si., M.T.</v>
      </c>
      <c r="D26" s="716"/>
      <c r="E26" s="1034"/>
      <c r="F26" s="1033">
        <f>IFERROR(__xludf.DUMMYFUNCTION("""COMPUTED_VALUE"""),0.0)</f>
        <v>0</v>
      </c>
      <c r="G26" s="1034"/>
      <c r="H26" s="1057"/>
      <c r="I26" s="1036">
        <f>IFERROR(__xludf.DUMMYFUNCTION("""COMPUTED_VALUE"""),0.0)</f>
        <v>0</v>
      </c>
      <c r="J26" s="1074"/>
      <c r="K26" s="1054"/>
      <c r="L26" s="1039">
        <f>IFERROR(__xludf.DUMMYFUNCTION("""COMPUTED_VALUE"""),0.0)</f>
        <v>0</v>
      </c>
      <c r="M26" s="1055"/>
      <c r="N26" s="1041"/>
      <c r="O26" s="1042">
        <f>IFERROR(__xludf.DUMMYFUNCTION("""COMPUTED_VALUE"""),0.0)</f>
        <v>0</v>
      </c>
      <c r="P26" s="1058"/>
      <c r="Q26" s="1059"/>
      <c r="R26" s="1044">
        <f>IFERROR(__xludf.DUMMYFUNCTION("""COMPUTED_VALUE"""),0.0)</f>
        <v>0</v>
      </c>
      <c r="S26" s="1059"/>
      <c r="T26" s="1045"/>
      <c r="U26" s="1045" t="str">
        <f>IFERROR(__xludf.DUMMYFUNCTION("""COMPUTED_VALUE"""),"#VALUE!")</f>
        <v>#VALUE!</v>
      </c>
      <c r="V26" s="1046"/>
      <c r="W26" s="1060"/>
      <c r="X26" s="1048">
        <f>IFERROR(__xludf.DUMMYFUNCTION("""COMPUTED_VALUE"""),0.0)</f>
        <v>0</v>
      </c>
      <c r="Y26" s="1056"/>
      <c r="Z26" s="1047"/>
      <c r="AA26" s="1050">
        <f>IFERROR(__xludf.DUMMYFUNCTION("""COMPUTED_VALUE"""),0.0)</f>
        <v>0</v>
      </c>
      <c r="AB26" s="1056" t="str">
        <f>IFERROR(__xludf.DUMMYFUNCTION("""COMPUTED_VALUE"""),"#DIV/0!")</f>
        <v>#DIV/0!</v>
      </c>
    </row>
    <row r="27" ht="15.75" customHeight="1">
      <c r="A27" s="1064">
        <f>IFERROR(__xludf.DUMMYFUNCTION("""COMPUTED_VALUE"""),22.0)</f>
        <v>22</v>
      </c>
      <c r="B27" s="1031" t="s">
        <v>46</v>
      </c>
      <c r="C27" s="768" t="str">
        <f>IFERROR(__xludf.DUMMYFUNCTION("""COMPUTED_VALUE"""),"Niken Fitria Apriani, S.Kom., M.Kom.")</f>
        <v>Niken Fitria Apriani, S.Kom., M.Kom.</v>
      </c>
      <c r="D27" s="716"/>
      <c r="E27" s="1034"/>
      <c r="F27" s="1033">
        <f>IFERROR(__xludf.DUMMYFUNCTION("""COMPUTED_VALUE"""),0.0)</f>
        <v>0</v>
      </c>
      <c r="G27" s="1034"/>
      <c r="H27" s="1057"/>
      <c r="I27" s="1036">
        <f>IFERROR(__xludf.DUMMYFUNCTION("""COMPUTED_VALUE"""),0.0)</f>
        <v>0</v>
      </c>
      <c r="J27" s="1074"/>
      <c r="K27" s="1054"/>
      <c r="L27" s="1039">
        <f>IFERROR(__xludf.DUMMYFUNCTION("""COMPUTED_VALUE"""),1.0)</f>
        <v>1</v>
      </c>
      <c r="M27" s="1055"/>
      <c r="N27" s="1041"/>
      <c r="O27" s="1042">
        <f>IFERROR(__xludf.DUMMYFUNCTION("""COMPUTED_VALUE"""),0.0)</f>
        <v>0</v>
      </c>
      <c r="P27" s="1058"/>
      <c r="Q27" s="1059"/>
      <c r="R27" s="1044">
        <f>IFERROR(__xludf.DUMMYFUNCTION("""COMPUTED_VALUE"""),0.0)</f>
        <v>0</v>
      </c>
      <c r="S27" s="1059"/>
      <c r="T27" s="1045"/>
      <c r="U27" s="1045" t="str">
        <f>IFERROR(__xludf.DUMMYFUNCTION("""COMPUTED_VALUE"""),"#VALUE!")</f>
        <v>#VALUE!</v>
      </c>
      <c r="V27" s="1046"/>
      <c r="W27" s="1060"/>
      <c r="X27" s="1048">
        <f>IFERROR(__xludf.DUMMYFUNCTION("""COMPUTED_VALUE"""),0.0)</f>
        <v>0</v>
      </c>
      <c r="Y27" s="1056"/>
      <c r="Z27" s="1047"/>
      <c r="AA27" s="1050">
        <f>IFERROR(__xludf.DUMMYFUNCTION("""COMPUTED_VALUE"""),0.0)</f>
        <v>0</v>
      </c>
      <c r="AB27" s="1056" t="str">
        <f>IFERROR(__xludf.DUMMYFUNCTION("""COMPUTED_VALUE"""),"#DIV/0!")</f>
        <v>#DIV/0!</v>
      </c>
    </row>
    <row r="28" ht="15.75" customHeight="1">
      <c r="A28" s="1030">
        <f>IFERROR(__xludf.DUMMYFUNCTION("""COMPUTED_VALUE"""),23.0)</f>
        <v>23</v>
      </c>
      <c r="B28" s="1031" t="s">
        <v>46</v>
      </c>
      <c r="C28" s="768" t="str">
        <f>IFERROR(__xludf.DUMMYFUNCTION("""COMPUTED_VALUE"""),"Ariani Indrawati, M.TI")</f>
        <v>Ariani Indrawati, M.TI</v>
      </c>
      <c r="D28" s="716"/>
      <c r="E28" s="1034"/>
      <c r="F28" s="1033">
        <f>IFERROR(__xludf.DUMMYFUNCTION("""COMPUTED_VALUE"""),0.0)</f>
        <v>0</v>
      </c>
      <c r="G28" s="1034"/>
      <c r="H28" s="1057"/>
      <c r="I28" s="1036">
        <f>IFERROR(__xludf.DUMMYFUNCTION("""COMPUTED_VALUE"""),0.0)</f>
        <v>0</v>
      </c>
      <c r="J28" s="1074"/>
      <c r="K28" s="1054"/>
      <c r="L28" s="1039">
        <f>IFERROR(__xludf.DUMMYFUNCTION("""COMPUTED_VALUE"""),2.0)</f>
        <v>2</v>
      </c>
      <c r="M28" s="1055"/>
      <c r="N28" s="1041"/>
      <c r="O28" s="1042">
        <f>IFERROR(__xludf.DUMMYFUNCTION("""COMPUTED_VALUE"""),0.0)</f>
        <v>0</v>
      </c>
      <c r="P28" s="1058"/>
      <c r="Q28" s="1059"/>
      <c r="R28" s="1044">
        <f>IFERROR(__xludf.DUMMYFUNCTION("""COMPUTED_VALUE"""),0.0)</f>
        <v>0</v>
      </c>
      <c r="S28" s="1059"/>
      <c r="T28" s="1045"/>
      <c r="U28" s="1045" t="str">
        <f>IFERROR(__xludf.DUMMYFUNCTION("""COMPUTED_VALUE"""),"#VALUE!")</f>
        <v>#VALUE!</v>
      </c>
      <c r="V28" s="1046"/>
      <c r="W28" s="1060"/>
      <c r="X28" s="1048">
        <f>IFERROR(__xludf.DUMMYFUNCTION("""COMPUTED_VALUE"""),7.0)</f>
        <v>7</v>
      </c>
      <c r="Y28" s="1056"/>
      <c r="Z28" s="1047"/>
      <c r="AA28" s="1050">
        <f>IFERROR(__xludf.DUMMYFUNCTION("""COMPUTED_VALUE"""),0.0)</f>
        <v>0</v>
      </c>
      <c r="AB28" s="1056" t="str">
        <f>IFERROR(__xludf.DUMMYFUNCTION("""COMPUTED_VALUE"""),"#DIV/0!")</f>
        <v>#DIV/0!</v>
      </c>
    </row>
    <row r="29" ht="15.75" customHeight="1">
      <c r="A29" s="1064">
        <f>IFERROR(__xludf.DUMMYFUNCTION("""COMPUTED_VALUE"""),24.0)</f>
        <v>24</v>
      </c>
      <c r="B29" s="1031" t="s">
        <v>46</v>
      </c>
      <c r="C29" s="768" t="str">
        <f>IFERROR(__xludf.DUMMYFUNCTION("""COMPUTED_VALUE"""),"Dr. Arya Adhyaksa Waskita, M.Si")</f>
        <v>Dr. Arya Adhyaksa Waskita, M.Si</v>
      </c>
      <c r="D29" s="700"/>
      <c r="E29" s="1034"/>
      <c r="F29" s="1033">
        <f>IFERROR(__xludf.DUMMYFUNCTION("""COMPUTED_VALUE"""),0.0)</f>
        <v>0</v>
      </c>
      <c r="G29" s="1034"/>
      <c r="H29" s="1057"/>
      <c r="I29" s="1036">
        <f>IFERROR(__xludf.DUMMYFUNCTION("""COMPUTED_VALUE"""),0.0)</f>
        <v>0</v>
      </c>
      <c r="J29" s="1074"/>
      <c r="K29" s="1054"/>
      <c r="L29" s="1039">
        <f>IFERROR(__xludf.DUMMYFUNCTION("""COMPUTED_VALUE"""),1.0)</f>
        <v>1</v>
      </c>
      <c r="M29" s="1055"/>
      <c r="N29" s="1041"/>
      <c r="O29" s="1042">
        <f>IFERROR(__xludf.DUMMYFUNCTION("""COMPUTED_VALUE"""),0.0)</f>
        <v>0</v>
      </c>
      <c r="P29" s="1058"/>
      <c r="Q29" s="1059"/>
      <c r="R29" s="1044">
        <f>IFERROR(__xludf.DUMMYFUNCTION("""COMPUTED_VALUE"""),0.0)</f>
        <v>0</v>
      </c>
      <c r="S29" s="1059"/>
      <c r="T29" s="1045"/>
      <c r="U29" s="1045" t="str">
        <f>IFERROR(__xludf.DUMMYFUNCTION("""COMPUTED_VALUE"""),"#VALUE!")</f>
        <v>#VALUE!</v>
      </c>
      <c r="V29" s="1046"/>
      <c r="W29" s="1060"/>
      <c r="X29" s="1048">
        <f>IFERROR(__xludf.DUMMYFUNCTION("""COMPUTED_VALUE"""),1.0)</f>
        <v>1</v>
      </c>
      <c r="Y29" s="1056"/>
      <c r="Z29" s="1047"/>
      <c r="AA29" s="1050">
        <f>IFERROR(__xludf.DUMMYFUNCTION("""COMPUTED_VALUE"""),0.0)</f>
        <v>0</v>
      </c>
      <c r="AB29" s="1056" t="str">
        <f>IFERROR(__xludf.DUMMYFUNCTION("""COMPUTED_VALUE"""),"#DIV/0!")</f>
        <v>#DIV/0!</v>
      </c>
    </row>
    <row r="30" ht="15.75" customHeight="1">
      <c r="A30" s="1064">
        <f>IFERROR(__xludf.DUMMYFUNCTION("""COMPUTED_VALUE"""),25.0)</f>
        <v>25</v>
      </c>
      <c r="B30" s="1031" t="s">
        <v>46</v>
      </c>
      <c r="C30" s="768" t="str">
        <f>IFERROR(__xludf.DUMMYFUNCTION("""COMPUTED_VALUE"""),"Dadan Ridwan Saleh, M.T.")</f>
        <v>Dadan Ridwan Saleh, M.T.</v>
      </c>
      <c r="D30" s="716"/>
      <c r="E30" s="1034"/>
      <c r="F30" s="1033">
        <f>IFERROR(__xludf.DUMMYFUNCTION("""COMPUTED_VALUE"""),0.0)</f>
        <v>0</v>
      </c>
      <c r="G30" s="1034"/>
      <c r="H30" s="1057"/>
      <c r="I30" s="1036">
        <f>IFERROR(__xludf.DUMMYFUNCTION("""COMPUTED_VALUE"""),0.0)</f>
        <v>0</v>
      </c>
      <c r="J30" s="1074"/>
      <c r="K30" s="1054"/>
      <c r="L30" s="1039">
        <f>IFERROR(__xludf.DUMMYFUNCTION("""COMPUTED_VALUE"""),0.0)</f>
        <v>0</v>
      </c>
      <c r="M30" s="1055"/>
      <c r="N30" s="1041"/>
      <c r="O30" s="1042">
        <f>IFERROR(__xludf.DUMMYFUNCTION("""COMPUTED_VALUE"""),0.0)</f>
        <v>0</v>
      </c>
      <c r="P30" s="1070"/>
      <c r="Q30" s="1071"/>
      <c r="R30" s="1044">
        <f>IFERROR(__xludf.DUMMYFUNCTION("""COMPUTED_VALUE"""),0.0)</f>
        <v>0</v>
      </c>
      <c r="S30" s="1071"/>
      <c r="T30" s="1045"/>
      <c r="U30" s="1045" t="str">
        <f>IFERROR(__xludf.DUMMYFUNCTION("""COMPUTED_VALUE"""),"#VALUE!")</f>
        <v>#VALUE!</v>
      </c>
      <c r="V30" s="1046"/>
      <c r="W30" s="1072"/>
      <c r="X30" s="1048">
        <f>IFERROR(__xludf.DUMMYFUNCTION("""COMPUTED_VALUE"""),1.0)</f>
        <v>1</v>
      </c>
      <c r="Y30" s="1073"/>
      <c r="Z30" s="1047"/>
      <c r="AA30" s="1050"/>
      <c r="AB30" s="1056"/>
    </row>
    <row r="31" ht="15.75" customHeight="1">
      <c r="A31" s="1064">
        <f>IFERROR(__xludf.DUMMYFUNCTION("""COMPUTED_VALUE"""),26.0)</f>
        <v>26</v>
      </c>
      <c r="B31" s="1031" t="s">
        <v>46</v>
      </c>
      <c r="C31" s="768" t="str">
        <f>IFERROR(__xludf.DUMMYFUNCTION("""COMPUTED_VALUE"""),"Yulia Aris Kartika, M. Kom.")</f>
        <v>Yulia Aris Kartika, M. Kom.</v>
      </c>
      <c r="D31" s="716"/>
      <c r="E31" s="1034"/>
      <c r="F31" s="1033">
        <f>IFERROR(__xludf.DUMMYFUNCTION("""COMPUTED_VALUE"""),0.0)</f>
        <v>0</v>
      </c>
      <c r="G31" s="1034"/>
      <c r="H31" s="1057"/>
      <c r="I31" s="1036">
        <f>IFERROR(__xludf.DUMMYFUNCTION("""COMPUTED_VALUE"""),0.0)</f>
        <v>0</v>
      </c>
      <c r="J31" s="1074"/>
      <c r="K31" s="1054"/>
      <c r="L31" s="1039">
        <f>IFERROR(__xludf.DUMMYFUNCTION("""COMPUTED_VALUE"""),1.0)</f>
        <v>1</v>
      </c>
      <c r="M31" s="1055"/>
      <c r="N31" s="1041"/>
      <c r="O31" s="1042">
        <f>IFERROR(__xludf.DUMMYFUNCTION("""COMPUTED_VALUE"""),0.0)</f>
        <v>0</v>
      </c>
      <c r="P31" s="1070"/>
      <c r="Q31" s="1071"/>
      <c r="R31" s="1044">
        <f>IFERROR(__xludf.DUMMYFUNCTION("""COMPUTED_VALUE"""),0.0)</f>
        <v>0</v>
      </c>
      <c r="S31" s="1071"/>
      <c r="T31" s="1045"/>
      <c r="U31" s="1045" t="str">
        <f>IFERROR(__xludf.DUMMYFUNCTION("""COMPUTED_VALUE"""),"#VALUE!")</f>
        <v>#VALUE!</v>
      </c>
      <c r="V31" s="1046"/>
      <c r="W31" s="1072"/>
      <c r="X31" s="1048">
        <f>IFERROR(__xludf.DUMMYFUNCTION("""COMPUTED_VALUE"""),6.0)</f>
        <v>6</v>
      </c>
      <c r="Y31" s="1073"/>
      <c r="Z31" s="1047"/>
      <c r="AA31" s="1050"/>
      <c r="AB31" s="1056"/>
    </row>
    <row r="32" ht="15.75" customHeight="1">
      <c r="A32" s="1064">
        <f>IFERROR(__xludf.DUMMYFUNCTION("""COMPUTED_VALUE"""),27.0)</f>
        <v>27</v>
      </c>
      <c r="B32" s="1031" t="s">
        <v>46</v>
      </c>
      <c r="C32" s="768" t="str">
        <f>IFERROR(__xludf.DUMMYFUNCTION("""COMPUTED_VALUE"""),"Hayuning Titi Karsanti S. Kom., M.Eng")</f>
        <v>Hayuning Titi Karsanti S. Kom., M.Eng</v>
      </c>
      <c r="D32" s="716"/>
      <c r="E32" s="1034"/>
      <c r="F32" s="1033">
        <f>IFERROR(__xludf.DUMMYFUNCTION("""COMPUTED_VALUE"""),0.0)</f>
        <v>0</v>
      </c>
      <c r="G32" s="1034"/>
      <c r="H32" s="1057"/>
      <c r="I32" s="1036">
        <f>IFERROR(__xludf.DUMMYFUNCTION("""COMPUTED_VALUE"""),0.0)</f>
        <v>0</v>
      </c>
      <c r="J32" s="1074"/>
      <c r="K32" s="1054"/>
      <c r="L32" s="1039">
        <f>IFERROR(__xludf.DUMMYFUNCTION("""COMPUTED_VALUE"""),1.0)</f>
        <v>1</v>
      </c>
      <c r="M32" s="1055"/>
      <c r="N32" s="1041"/>
      <c r="O32" s="1042">
        <f>IFERROR(__xludf.DUMMYFUNCTION("""COMPUTED_VALUE"""),0.0)</f>
        <v>0</v>
      </c>
      <c r="P32" s="1070"/>
      <c r="Q32" s="1071"/>
      <c r="R32" s="1044">
        <f>IFERROR(__xludf.DUMMYFUNCTION("""COMPUTED_VALUE"""),0.0)</f>
        <v>0</v>
      </c>
      <c r="S32" s="1071"/>
      <c r="T32" s="1045"/>
      <c r="U32" s="1045" t="str">
        <f>IFERROR(__xludf.DUMMYFUNCTION("""COMPUTED_VALUE"""),"#VALUE!")</f>
        <v>#VALUE!</v>
      </c>
      <c r="V32" s="1046"/>
      <c r="W32" s="1072"/>
      <c r="X32" s="1048">
        <f>IFERROR(__xludf.DUMMYFUNCTION("""COMPUTED_VALUE"""),1.0)</f>
        <v>1</v>
      </c>
      <c r="Y32" s="1073"/>
      <c r="Z32" s="1047"/>
      <c r="AA32" s="1050"/>
      <c r="AB32" s="1056"/>
    </row>
    <row r="33" ht="15.75" customHeight="1">
      <c r="A33" s="1064">
        <f>IFERROR(__xludf.DUMMYFUNCTION("""COMPUTED_VALUE"""),28.0)</f>
        <v>28</v>
      </c>
      <c r="B33" s="1031" t="s">
        <v>46</v>
      </c>
      <c r="C33" s="768" t="str">
        <f>IFERROR(__xludf.DUMMYFUNCTION("""COMPUTED_VALUE"""),"Gita Citra Puspita S.Kom")</f>
        <v>Gita Citra Puspita S.Kom</v>
      </c>
      <c r="D33" s="716"/>
      <c r="E33" s="1034"/>
      <c r="F33" s="1033">
        <f>IFERROR(__xludf.DUMMYFUNCTION("""COMPUTED_VALUE"""),0.0)</f>
        <v>0</v>
      </c>
      <c r="G33" s="1034"/>
      <c r="H33" s="1057"/>
      <c r="I33" s="1036">
        <f>IFERROR(__xludf.DUMMYFUNCTION("""COMPUTED_VALUE"""),0.0)</f>
        <v>0</v>
      </c>
      <c r="J33" s="1074"/>
      <c r="K33" s="1054"/>
      <c r="L33" s="1039">
        <f>IFERROR(__xludf.DUMMYFUNCTION("""COMPUTED_VALUE"""),0.0)</f>
        <v>0</v>
      </c>
      <c r="M33" s="1055"/>
      <c r="N33" s="1041"/>
      <c r="O33" s="1042">
        <f>IFERROR(__xludf.DUMMYFUNCTION("""COMPUTED_VALUE"""),0.0)</f>
        <v>0</v>
      </c>
      <c r="P33" s="1070"/>
      <c r="Q33" s="1071"/>
      <c r="R33" s="1044">
        <f>IFERROR(__xludf.DUMMYFUNCTION("""COMPUTED_VALUE"""),0.0)</f>
        <v>0</v>
      </c>
      <c r="S33" s="1071"/>
      <c r="T33" s="1045"/>
      <c r="U33" s="1045" t="str">
        <f>IFERROR(__xludf.DUMMYFUNCTION("""COMPUTED_VALUE"""),"#VALUE!")</f>
        <v>#VALUE!</v>
      </c>
      <c r="V33" s="1046"/>
      <c r="W33" s="1072"/>
      <c r="X33" s="1048">
        <f>IFERROR(__xludf.DUMMYFUNCTION("""COMPUTED_VALUE"""),2.0)</f>
        <v>2</v>
      </c>
      <c r="Y33" s="1073"/>
      <c r="Z33" s="1047"/>
      <c r="AA33" s="1050"/>
      <c r="AB33" s="1056"/>
    </row>
    <row r="34" ht="15.75" customHeight="1">
      <c r="A34" s="1064">
        <f>IFERROR(__xludf.DUMMYFUNCTION("""COMPUTED_VALUE"""),29.0)</f>
        <v>29</v>
      </c>
      <c r="B34" s="1031" t="s">
        <v>34</v>
      </c>
      <c r="C34" s="768" t="str">
        <f>IFERROR(__xludf.DUMMYFUNCTION("""COMPUTED_VALUE"""),"Arafat Febriandirza, Ph.D")</f>
        <v>Arafat Febriandirza, Ph.D</v>
      </c>
      <c r="D34" s="716"/>
      <c r="E34" s="1034"/>
      <c r="F34" s="1033">
        <f>IFERROR(__xludf.DUMMYFUNCTION("""COMPUTED_VALUE"""),0.0)</f>
        <v>0</v>
      </c>
      <c r="G34" s="1034"/>
      <c r="H34" s="1057"/>
      <c r="I34" s="1036">
        <f>IFERROR(__xludf.DUMMYFUNCTION("""COMPUTED_VALUE"""),0.0)</f>
        <v>0</v>
      </c>
      <c r="J34" s="1074"/>
      <c r="K34" s="1054"/>
      <c r="L34" s="1039">
        <f>IFERROR(__xludf.DUMMYFUNCTION("""COMPUTED_VALUE"""),1.0)</f>
        <v>1</v>
      </c>
      <c r="M34" s="1055"/>
      <c r="N34" s="1041"/>
      <c r="O34" s="1042">
        <f>IFERROR(__xludf.DUMMYFUNCTION("""COMPUTED_VALUE"""),0.0)</f>
        <v>0</v>
      </c>
      <c r="P34" s="1070"/>
      <c r="Q34" s="1071"/>
      <c r="R34" s="1044">
        <f>IFERROR(__xludf.DUMMYFUNCTION("""COMPUTED_VALUE"""),0.0)</f>
        <v>0</v>
      </c>
      <c r="S34" s="1071"/>
      <c r="T34" s="1045"/>
      <c r="U34" s="1045" t="str">
        <f>IFERROR(__xludf.DUMMYFUNCTION("""COMPUTED_VALUE"""),"#VALUE!")</f>
        <v>#VALUE!</v>
      </c>
      <c r="V34" s="1046"/>
      <c r="W34" s="1072"/>
      <c r="X34" s="1048">
        <f>IFERROR(__xludf.DUMMYFUNCTION("""COMPUTED_VALUE"""),2.0)</f>
        <v>2</v>
      </c>
      <c r="Y34" s="1073"/>
      <c r="Z34" s="1047"/>
      <c r="AA34" s="1050"/>
      <c r="AB34" s="1056"/>
    </row>
    <row r="35" ht="15.75" customHeight="1">
      <c r="A35" s="1064">
        <f>IFERROR(__xludf.DUMMYFUNCTION("""COMPUTED_VALUE"""),30.0)</f>
        <v>30</v>
      </c>
      <c r="B35" s="1031" t="s">
        <v>34</v>
      </c>
      <c r="C35" s="768" t="str">
        <f>IFERROR(__xludf.DUMMYFUNCTION("""COMPUTED_VALUE"""),"Dr. Ambar Yoganingrum")</f>
        <v>Dr. Ambar Yoganingrum</v>
      </c>
      <c r="D35" s="716"/>
      <c r="E35" s="1034"/>
      <c r="F35" s="1033">
        <f>IFERROR(__xludf.DUMMYFUNCTION("""COMPUTED_VALUE"""),0.0)</f>
        <v>0</v>
      </c>
      <c r="G35" s="1034"/>
      <c r="H35" s="1057"/>
      <c r="I35" s="1036">
        <f>IFERROR(__xludf.DUMMYFUNCTION("""COMPUTED_VALUE"""),0.0)</f>
        <v>0</v>
      </c>
      <c r="J35" s="1074"/>
      <c r="K35" s="1054"/>
      <c r="L35" s="1039">
        <f>IFERROR(__xludf.DUMMYFUNCTION("""COMPUTED_VALUE"""),1.0)</f>
        <v>1</v>
      </c>
      <c r="M35" s="1055"/>
      <c r="N35" s="1041"/>
      <c r="O35" s="1042">
        <f>IFERROR(__xludf.DUMMYFUNCTION("""COMPUTED_VALUE"""),0.0)</f>
        <v>0</v>
      </c>
      <c r="P35" s="1070"/>
      <c r="Q35" s="1071"/>
      <c r="R35" s="1044">
        <f>IFERROR(__xludf.DUMMYFUNCTION("""COMPUTED_VALUE"""),0.0)</f>
        <v>0</v>
      </c>
      <c r="S35" s="1071"/>
      <c r="T35" s="1045"/>
      <c r="U35" s="1045" t="str">
        <f>IFERROR(__xludf.DUMMYFUNCTION("""COMPUTED_VALUE"""),"#VALUE!")</f>
        <v>#VALUE!</v>
      </c>
      <c r="V35" s="1046"/>
      <c r="W35" s="1072"/>
      <c r="X35" s="1048">
        <f>IFERROR(__xludf.DUMMYFUNCTION("""COMPUTED_VALUE"""),15.0)</f>
        <v>15</v>
      </c>
      <c r="Y35" s="1073"/>
      <c r="Z35" s="1047"/>
      <c r="AA35" s="1050"/>
      <c r="AB35" s="1056"/>
    </row>
    <row r="36" ht="15.75" customHeight="1">
      <c r="A36" s="1064">
        <f>IFERROR(__xludf.DUMMYFUNCTION("""COMPUTED_VALUE"""),31.0)</f>
        <v>31</v>
      </c>
      <c r="B36" s="1031" t="s">
        <v>34</v>
      </c>
      <c r="C36" s="768" t="str">
        <f>IFERROR(__xludf.DUMMYFUNCTION("""COMPUTED_VALUE"""),"Dr. Eng. Budi Nugroho")</f>
        <v>Dr. Eng. Budi Nugroho</v>
      </c>
      <c r="D36" s="716"/>
      <c r="E36" s="1034"/>
      <c r="F36" s="1033">
        <f>IFERROR(__xludf.DUMMYFUNCTION("""COMPUTED_VALUE"""),0.0)</f>
        <v>0</v>
      </c>
      <c r="G36" s="1034"/>
      <c r="H36" s="1057"/>
      <c r="I36" s="1036">
        <f>IFERROR(__xludf.DUMMYFUNCTION("""COMPUTED_VALUE"""),0.0)</f>
        <v>0</v>
      </c>
      <c r="J36" s="1074"/>
      <c r="K36" s="1054"/>
      <c r="L36" s="1039">
        <f>IFERROR(__xludf.DUMMYFUNCTION("""COMPUTED_VALUE"""),2.0)</f>
        <v>2</v>
      </c>
      <c r="M36" s="1055"/>
      <c r="N36" s="1041"/>
      <c r="O36" s="1042">
        <f>IFERROR(__xludf.DUMMYFUNCTION("""COMPUTED_VALUE"""),0.0)</f>
        <v>0</v>
      </c>
      <c r="P36" s="1070"/>
      <c r="Q36" s="1071"/>
      <c r="R36" s="1044">
        <f>IFERROR(__xludf.DUMMYFUNCTION("""COMPUTED_VALUE"""),0.0)</f>
        <v>0</v>
      </c>
      <c r="S36" s="1071"/>
      <c r="T36" s="1045"/>
      <c r="U36" s="1045" t="str">
        <f>IFERROR(__xludf.DUMMYFUNCTION("""COMPUTED_VALUE"""),"#VALUE!")</f>
        <v>#VALUE!</v>
      </c>
      <c r="V36" s="1046"/>
      <c r="W36" s="1072"/>
      <c r="X36" s="1048">
        <f>IFERROR(__xludf.DUMMYFUNCTION("""COMPUTED_VALUE"""),8.0)</f>
        <v>8</v>
      </c>
      <c r="Y36" s="1073"/>
      <c r="Z36" s="1047"/>
      <c r="AA36" s="1050"/>
      <c r="AB36" s="1056"/>
    </row>
    <row r="37" ht="15.75" customHeight="1">
      <c r="A37" s="1064">
        <f>IFERROR(__xludf.DUMMYFUNCTION("""COMPUTED_VALUE"""),32.0)</f>
        <v>32</v>
      </c>
      <c r="B37" s="1031" t="s">
        <v>34</v>
      </c>
      <c r="C37" s="768" t="str">
        <f>IFERROR(__xludf.DUMMYFUNCTION("""COMPUTED_VALUE"""),"M. Yudhi Rezaldi, Ph.D")</f>
        <v>M. Yudhi Rezaldi, Ph.D</v>
      </c>
      <c r="D37" s="716"/>
      <c r="E37" s="1034"/>
      <c r="F37" s="1033">
        <f>IFERROR(__xludf.DUMMYFUNCTION("""COMPUTED_VALUE"""),0.0)</f>
        <v>0</v>
      </c>
      <c r="G37" s="1034"/>
      <c r="H37" s="1057"/>
      <c r="I37" s="1036">
        <f>IFERROR(__xludf.DUMMYFUNCTION("""COMPUTED_VALUE"""),0.0)</f>
        <v>0</v>
      </c>
      <c r="J37" s="1074"/>
      <c r="K37" s="1054"/>
      <c r="L37" s="1039">
        <f>IFERROR(__xludf.DUMMYFUNCTION("""COMPUTED_VALUE"""),1.0)</f>
        <v>1</v>
      </c>
      <c r="M37" s="1055"/>
      <c r="N37" s="1041"/>
      <c r="O37" s="1042">
        <f>IFERROR(__xludf.DUMMYFUNCTION("""COMPUTED_VALUE"""),0.0)</f>
        <v>0</v>
      </c>
      <c r="P37" s="1070"/>
      <c r="Q37" s="1071"/>
      <c r="R37" s="1044">
        <f>IFERROR(__xludf.DUMMYFUNCTION("""COMPUTED_VALUE"""),0.0)</f>
        <v>0</v>
      </c>
      <c r="S37" s="1071"/>
      <c r="T37" s="1045"/>
      <c r="U37" s="1045" t="str">
        <f>IFERROR(__xludf.DUMMYFUNCTION("""COMPUTED_VALUE"""),"#VALUE!")</f>
        <v>#VALUE!</v>
      </c>
      <c r="V37" s="1046"/>
      <c r="W37" s="1072"/>
      <c r="X37" s="1048">
        <f>IFERROR(__xludf.DUMMYFUNCTION("""COMPUTED_VALUE"""),8.0)</f>
        <v>8</v>
      </c>
      <c r="Y37" s="1073"/>
      <c r="Z37" s="1047"/>
      <c r="AA37" s="1050"/>
      <c r="AB37" s="1056"/>
    </row>
    <row r="38" ht="15.75" customHeight="1">
      <c r="A38" s="1064">
        <f>IFERROR(__xludf.DUMMYFUNCTION("""COMPUTED_VALUE"""),33.0)</f>
        <v>33</v>
      </c>
      <c r="B38" s="1031" t="s">
        <v>34</v>
      </c>
      <c r="C38" s="768" t="str">
        <f>IFERROR(__xludf.DUMMYFUNCTION("""COMPUTED_VALUE"""),"Abdurrakhman Prasetyadi, M.P")</f>
        <v>Abdurrakhman Prasetyadi, M.P</v>
      </c>
      <c r="D38" s="716"/>
      <c r="E38" s="1034"/>
      <c r="F38" s="1033">
        <f>IFERROR(__xludf.DUMMYFUNCTION("""COMPUTED_VALUE"""),0.0)</f>
        <v>0</v>
      </c>
      <c r="G38" s="1034"/>
      <c r="H38" s="1057"/>
      <c r="I38" s="1036">
        <f>IFERROR(__xludf.DUMMYFUNCTION("""COMPUTED_VALUE"""),0.0)</f>
        <v>0</v>
      </c>
      <c r="J38" s="1074"/>
      <c r="K38" s="1054"/>
      <c r="L38" s="1039">
        <f>IFERROR(__xludf.DUMMYFUNCTION("""COMPUTED_VALUE"""),1.0)</f>
        <v>1</v>
      </c>
      <c r="M38" s="1055"/>
      <c r="N38" s="1041"/>
      <c r="O38" s="1042">
        <f>IFERROR(__xludf.DUMMYFUNCTION("""COMPUTED_VALUE"""),0.0)</f>
        <v>0</v>
      </c>
      <c r="P38" s="1070"/>
      <c r="Q38" s="1071"/>
      <c r="R38" s="1044">
        <f>IFERROR(__xludf.DUMMYFUNCTION("""COMPUTED_VALUE"""),0.0)</f>
        <v>0</v>
      </c>
      <c r="S38" s="1071"/>
      <c r="T38" s="1045"/>
      <c r="U38" s="1045" t="str">
        <f>IFERROR(__xludf.DUMMYFUNCTION("""COMPUTED_VALUE"""),"#VALUE!")</f>
        <v>#VALUE!</v>
      </c>
      <c r="V38" s="1046"/>
      <c r="W38" s="1072"/>
      <c r="X38" s="1048">
        <f>IFERROR(__xludf.DUMMYFUNCTION("""COMPUTED_VALUE"""),11.0)</f>
        <v>11</v>
      </c>
      <c r="Y38" s="1073"/>
      <c r="Z38" s="1047"/>
      <c r="AA38" s="1050"/>
      <c r="AB38" s="1056"/>
    </row>
    <row r="39" ht="15.75" customHeight="1">
      <c r="A39" s="1064">
        <f>IFERROR(__xludf.DUMMYFUNCTION("""COMPUTED_VALUE"""),34.0)</f>
        <v>34</v>
      </c>
      <c r="B39" s="1031" t="s">
        <v>34</v>
      </c>
      <c r="C39" s="768" t="str">
        <f>IFERROR(__xludf.DUMMYFUNCTION("""COMPUTED_VALUE"""),"Cahyo Trianggoro, S.IIP")</f>
        <v>Cahyo Trianggoro, S.IIP</v>
      </c>
      <c r="D39" s="716"/>
      <c r="E39" s="1034"/>
      <c r="F39" s="1033">
        <f>IFERROR(__xludf.DUMMYFUNCTION("""COMPUTED_VALUE"""),0.0)</f>
        <v>0</v>
      </c>
      <c r="G39" s="1034"/>
      <c r="H39" s="1057"/>
      <c r="I39" s="1036">
        <f>IFERROR(__xludf.DUMMYFUNCTION("""COMPUTED_VALUE"""),0.0)</f>
        <v>0</v>
      </c>
      <c r="J39" s="1074"/>
      <c r="K39" s="1054"/>
      <c r="L39" s="1039">
        <f>IFERROR(__xludf.DUMMYFUNCTION("""COMPUTED_VALUE"""),1.0)</f>
        <v>1</v>
      </c>
      <c r="M39" s="1055"/>
      <c r="N39" s="1041"/>
      <c r="O39" s="1042">
        <f>IFERROR(__xludf.DUMMYFUNCTION("""COMPUTED_VALUE"""),0.0)</f>
        <v>0</v>
      </c>
      <c r="P39" s="1070"/>
      <c r="Q39" s="1071"/>
      <c r="R39" s="1044">
        <f>IFERROR(__xludf.DUMMYFUNCTION("""COMPUTED_VALUE"""),0.0)</f>
        <v>0</v>
      </c>
      <c r="S39" s="1071"/>
      <c r="T39" s="1045"/>
      <c r="U39" s="1045" t="str">
        <f>IFERROR(__xludf.DUMMYFUNCTION("""COMPUTED_VALUE"""),"#VALUE!")</f>
        <v>#VALUE!</v>
      </c>
      <c r="V39" s="1046"/>
      <c r="W39" s="1072"/>
      <c r="X39" s="1048">
        <f>IFERROR(__xludf.DUMMYFUNCTION("""COMPUTED_VALUE"""),8.0)</f>
        <v>8</v>
      </c>
      <c r="Y39" s="1073"/>
      <c r="Z39" s="1047"/>
      <c r="AA39" s="1050"/>
      <c r="AB39" s="1056"/>
    </row>
    <row r="40" ht="15.75" customHeight="1">
      <c r="A40" s="1064">
        <f>IFERROR(__xludf.DUMMYFUNCTION("""COMPUTED_VALUE"""),35.0)</f>
        <v>35</v>
      </c>
      <c r="B40" s="1031" t="s">
        <v>34</v>
      </c>
      <c r="C40" s="768" t="str">
        <f>IFERROR(__xludf.DUMMYFUNCTION("""COMPUTED_VALUE"""),"Ridwan Suhud, M.T")</f>
        <v>Ridwan Suhud, M.T</v>
      </c>
      <c r="D40" s="716"/>
      <c r="E40" s="1034"/>
      <c r="F40" s="1033">
        <f>IFERROR(__xludf.DUMMYFUNCTION("""COMPUTED_VALUE"""),0.0)</f>
        <v>0</v>
      </c>
      <c r="G40" s="1034"/>
      <c r="H40" s="1057"/>
      <c r="I40" s="1036">
        <f>IFERROR(__xludf.DUMMYFUNCTION("""COMPUTED_VALUE"""),0.0)</f>
        <v>0</v>
      </c>
      <c r="J40" s="1074"/>
      <c r="K40" s="1054"/>
      <c r="L40" s="1039">
        <f>IFERROR(__xludf.DUMMYFUNCTION("""COMPUTED_VALUE"""),1.0)</f>
        <v>1</v>
      </c>
      <c r="M40" s="1055"/>
      <c r="N40" s="1041"/>
      <c r="O40" s="1042">
        <f>IFERROR(__xludf.DUMMYFUNCTION("""COMPUTED_VALUE"""),0.0)</f>
        <v>0</v>
      </c>
      <c r="P40" s="1070"/>
      <c r="Q40" s="1071"/>
      <c r="R40" s="1044">
        <f>IFERROR(__xludf.DUMMYFUNCTION("""COMPUTED_VALUE"""),0.0)</f>
        <v>0</v>
      </c>
      <c r="S40" s="1071"/>
      <c r="T40" s="1045"/>
      <c r="U40" s="1045" t="str">
        <f>IFERROR(__xludf.DUMMYFUNCTION("""COMPUTED_VALUE"""),"#VALUE!")</f>
        <v>#VALUE!</v>
      </c>
      <c r="V40" s="1046"/>
      <c r="W40" s="1072"/>
      <c r="X40" s="1048">
        <f>IFERROR(__xludf.DUMMYFUNCTION("""COMPUTED_VALUE"""),1.0)</f>
        <v>1</v>
      </c>
      <c r="Y40" s="1073"/>
      <c r="Z40" s="1047"/>
      <c r="AA40" s="1050"/>
      <c r="AB40" s="1056"/>
    </row>
    <row r="41" ht="15.75" customHeight="1">
      <c r="A41" s="1064">
        <f>IFERROR(__xludf.DUMMYFUNCTION("""COMPUTED_VALUE"""),36.0)</f>
        <v>36</v>
      </c>
      <c r="B41" s="1031" t="s">
        <v>34</v>
      </c>
      <c r="C41" s="768" t="str">
        <f>IFERROR(__xludf.DUMMYFUNCTION("""COMPUTED_VALUE"""),"Prof. Dr. Ana Hadiana, M.Eng.Sc.")</f>
        <v>Prof. Dr. Ana Hadiana, M.Eng.Sc.</v>
      </c>
      <c r="D41" s="716"/>
      <c r="E41" s="1034"/>
      <c r="F41" s="1033">
        <f>IFERROR(__xludf.DUMMYFUNCTION("""COMPUTED_VALUE"""),0.0)</f>
        <v>0</v>
      </c>
      <c r="G41" s="1034"/>
      <c r="H41" s="1057"/>
      <c r="I41" s="1036">
        <f>IFERROR(__xludf.DUMMYFUNCTION("""COMPUTED_VALUE"""),0.0)</f>
        <v>0</v>
      </c>
      <c r="J41" s="1074"/>
      <c r="K41" s="1054"/>
      <c r="L41" s="1039">
        <f>IFERROR(__xludf.DUMMYFUNCTION("""COMPUTED_VALUE"""),0.0)</f>
        <v>0</v>
      </c>
      <c r="M41" s="1055"/>
      <c r="N41" s="1041"/>
      <c r="O41" s="1042">
        <f>IFERROR(__xludf.DUMMYFUNCTION("""COMPUTED_VALUE"""),0.0)</f>
        <v>0</v>
      </c>
      <c r="P41" s="1070"/>
      <c r="Q41" s="1071"/>
      <c r="R41" s="1044">
        <f>IFERROR(__xludf.DUMMYFUNCTION("""COMPUTED_VALUE"""),0.0)</f>
        <v>0</v>
      </c>
      <c r="S41" s="1071"/>
      <c r="T41" s="1045"/>
      <c r="U41" s="1045" t="str">
        <f>IFERROR(__xludf.DUMMYFUNCTION("""COMPUTED_VALUE"""),"#VALUE!")</f>
        <v>#VALUE!</v>
      </c>
      <c r="V41" s="1046"/>
      <c r="W41" s="1072"/>
      <c r="X41" s="1048">
        <f>IFERROR(__xludf.DUMMYFUNCTION("""COMPUTED_VALUE"""),5.0)</f>
        <v>5</v>
      </c>
      <c r="Y41" s="1073"/>
      <c r="Z41" s="1047"/>
      <c r="AA41" s="1050"/>
      <c r="AB41" s="1056"/>
    </row>
    <row r="42" ht="15.75" customHeight="1">
      <c r="A42" s="1064">
        <f>IFERROR(__xludf.DUMMYFUNCTION("""COMPUTED_VALUE"""),37.0)</f>
        <v>37</v>
      </c>
      <c r="B42" s="1031" t="s">
        <v>108</v>
      </c>
      <c r="C42" s="768" t="str">
        <f>IFERROR(__xludf.DUMMYFUNCTION("""COMPUTED_VALUE"""),"Dr. M. Teduh Uliniansyah")</f>
        <v>Dr. M. Teduh Uliniansyah</v>
      </c>
      <c r="D42" s="716"/>
      <c r="E42" s="1034"/>
      <c r="F42" s="1033">
        <f>IFERROR(__xludf.DUMMYFUNCTION("""COMPUTED_VALUE"""),0.0)</f>
        <v>0</v>
      </c>
      <c r="G42" s="1034"/>
      <c r="H42" s="1057"/>
      <c r="I42" s="1036">
        <f>IFERROR(__xludf.DUMMYFUNCTION("""COMPUTED_VALUE"""),1.0)</f>
        <v>1</v>
      </c>
      <c r="J42" s="1074"/>
      <c r="K42" s="1054"/>
      <c r="L42" s="1039">
        <f>IFERROR(__xludf.DUMMYFUNCTION("""COMPUTED_VALUE"""),0.0)</f>
        <v>0</v>
      </c>
      <c r="M42" s="1055"/>
      <c r="N42" s="1041"/>
      <c r="O42" s="1042">
        <f>IFERROR(__xludf.DUMMYFUNCTION("""COMPUTED_VALUE"""),0.0)</f>
        <v>0</v>
      </c>
      <c r="P42" s="1070"/>
      <c r="Q42" s="1071"/>
      <c r="R42" s="1044">
        <f>IFERROR(__xludf.DUMMYFUNCTION("""COMPUTED_VALUE"""),0.0)</f>
        <v>0</v>
      </c>
      <c r="S42" s="1071"/>
      <c r="T42" s="1045"/>
      <c r="U42" s="1045" t="str">
        <f>IFERROR(__xludf.DUMMYFUNCTION("""COMPUTED_VALUE"""),"#VALUE!")</f>
        <v>#VALUE!</v>
      </c>
      <c r="V42" s="1046"/>
      <c r="W42" s="1072"/>
      <c r="X42" s="1048">
        <f>IFERROR(__xludf.DUMMYFUNCTION("""COMPUTED_VALUE"""),14.0)</f>
        <v>14</v>
      </c>
      <c r="Y42" s="1073"/>
      <c r="Z42" s="1047"/>
      <c r="AA42" s="1050"/>
      <c r="AB42" s="1056"/>
    </row>
    <row r="43" ht="15.75" customHeight="1">
      <c r="A43" s="1064">
        <f>IFERROR(__xludf.DUMMYFUNCTION("""COMPUTED_VALUE"""),38.0)</f>
        <v>38</v>
      </c>
      <c r="B43" s="1031" t="s">
        <v>108</v>
      </c>
      <c r="C43" s="768" t="str">
        <f>IFERROR(__xludf.DUMMYFUNCTION("""COMPUTED_VALUE"""),"Ir. Andi Djalal Latief, M.S.")</f>
        <v>Ir. Andi Djalal Latief, M.S.</v>
      </c>
      <c r="D43" s="716"/>
      <c r="E43" s="1034"/>
      <c r="F43" s="1033">
        <f>IFERROR(__xludf.DUMMYFUNCTION("""COMPUTED_VALUE"""),0.0)</f>
        <v>0</v>
      </c>
      <c r="G43" s="1034"/>
      <c r="H43" s="1057"/>
      <c r="I43" s="1036">
        <f>IFERROR(__xludf.DUMMYFUNCTION("""COMPUTED_VALUE"""),0.0)</f>
        <v>0</v>
      </c>
      <c r="J43" s="1074"/>
      <c r="K43" s="1054"/>
      <c r="L43" s="1039">
        <f>IFERROR(__xludf.DUMMYFUNCTION("""COMPUTED_VALUE"""),0.0)</f>
        <v>0</v>
      </c>
      <c r="M43" s="1055"/>
      <c r="N43" s="1041"/>
      <c r="O43" s="1042">
        <f>IFERROR(__xludf.DUMMYFUNCTION("""COMPUTED_VALUE"""),0.0)</f>
        <v>0</v>
      </c>
      <c r="P43" s="1070"/>
      <c r="Q43" s="1071"/>
      <c r="R43" s="1044">
        <f>IFERROR(__xludf.DUMMYFUNCTION("""COMPUTED_VALUE"""),0.0)</f>
        <v>0</v>
      </c>
      <c r="S43" s="1071"/>
      <c r="T43" s="1045"/>
      <c r="U43" s="1045" t="str">
        <f>IFERROR(__xludf.DUMMYFUNCTION("""COMPUTED_VALUE"""),"#VALUE!")</f>
        <v>#VALUE!</v>
      </c>
      <c r="V43" s="1046"/>
      <c r="W43" s="1072"/>
      <c r="X43" s="1048">
        <f>IFERROR(__xludf.DUMMYFUNCTION("""COMPUTED_VALUE"""),7.0)</f>
        <v>7</v>
      </c>
      <c r="Y43" s="1073"/>
      <c r="Z43" s="1047"/>
      <c r="AA43" s="1050"/>
      <c r="AB43" s="1056"/>
    </row>
    <row r="44" ht="15.75" customHeight="1">
      <c r="A44" s="1064">
        <f>IFERROR(__xludf.DUMMYFUNCTION("""COMPUTED_VALUE"""),39.0)</f>
        <v>39</v>
      </c>
      <c r="B44" s="1031" t="s">
        <v>108</v>
      </c>
      <c r="C44" s="768" t="str">
        <f>IFERROR(__xludf.DUMMYFUNCTION("""COMPUTED_VALUE"""),"Dian Isnaeni Nurul Afra, S.Kom., M.T.I.")</f>
        <v>Dian Isnaeni Nurul Afra, S.Kom., M.T.I.</v>
      </c>
      <c r="D44" s="716"/>
      <c r="E44" s="1034"/>
      <c r="F44" s="1033">
        <f>IFERROR(__xludf.DUMMYFUNCTION("""COMPUTED_VALUE"""),0.0)</f>
        <v>0</v>
      </c>
      <c r="G44" s="1034"/>
      <c r="H44" s="1057"/>
      <c r="I44" s="1036">
        <f>IFERROR(__xludf.DUMMYFUNCTION("""COMPUTED_VALUE"""),1.0)</f>
        <v>1</v>
      </c>
      <c r="J44" s="1074"/>
      <c r="K44" s="1054"/>
      <c r="L44" s="1039">
        <f>IFERROR(__xludf.DUMMYFUNCTION("""COMPUTED_VALUE"""),0.0)</f>
        <v>0</v>
      </c>
      <c r="M44" s="1055"/>
      <c r="N44" s="1041"/>
      <c r="O44" s="1042">
        <f>IFERROR(__xludf.DUMMYFUNCTION("""COMPUTED_VALUE"""),0.0)</f>
        <v>0</v>
      </c>
      <c r="P44" s="1070"/>
      <c r="Q44" s="1071"/>
      <c r="R44" s="1044">
        <f>IFERROR(__xludf.DUMMYFUNCTION("""COMPUTED_VALUE"""),0.0)</f>
        <v>0</v>
      </c>
      <c r="S44" s="1071"/>
      <c r="T44" s="1045"/>
      <c r="U44" s="1045" t="str">
        <f>IFERROR(__xludf.DUMMYFUNCTION("""COMPUTED_VALUE"""),"#VALUE!")</f>
        <v>#VALUE!</v>
      </c>
      <c r="V44" s="1046"/>
      <c r="W44" s="1072"/>
      <c r="X44" s="1048">
        <f>IFERROR(__xludf.DUMMYFUNCTION("""COMPUTED_VALUE"""),7.0)</f>
        <v>7</v>
      </c>
      <c r="Y44" s="1073"/>
      <c r="Z44" s="1047"/>
      <c r="AA44" s="1050"/>
      <c r="AB44" s="1056"/>
    </row>
    <row r="45" ht="15.75" customHeight="1">
      <c r="A45" s="1064">
        <f>IFERROR(__xludf.DUMMYFUNCTION("""COMPUTED_VALUE"""),40.0)</f>
        <v>40</v>
      </c>
      <c r="B45" s="1031" t="s">
        <v>108</v>
      </c>
      <c r="C45" s="768" t="str">
        <f>IFERROR(__xludf.DUMMYFUNCTION("""COMPUTED_VALUE"""),"Nuraisa Novia Hidayati, S.Kom., M.Kom.")</f>
        <v>Nuraisa Novia Hidayati, S.Kom., M.Kom.</v>
      </c>
      <c r="D45" s="716"/>
      <c r="E45" s="1034"/>
      <c r="F45" s="1033">
        <f>IFERROR(__xludf.DUMMYFUNCTION("""COMPUTED_VALUE"""),0.0)</f>
        <v>0</v>
      </c>
      <c r="G45" s="1034"/>
      <c r="H45" s="1057"/>
      <c r="I45" s="1036">
        <f>IFERROR(__xludf.DUMMYFUNCTION("""COMPUTED_VALUE"""),0.0)</f>
        <v>0</v>
      </c>
      <c r="J45" s="1074"/>
      <c r="K45" s="1054"/>
      <c r="L45" s="1039">
        <f>IFERROR(__xludf.DUMMYFUNCTION("""COMPUTED_VALUE"""),1.0)</f>
        <v>1</v>
      </c>
      <c r="M45" s="1055"/>
      <c r="N45" s="1041"/>
      <c r="O45" s="1042">
        <f>IFERROR(__xludf.DUMMYFUNCTION("""COMPUTED_VALUE"""),0.0)</f>
        <v>0</v>
      </c>
      <c r="P45" s="1070"/>
      <c r="Q45" s="1071"/>
      <c r="R45" s="1044">
        <f>IFERROR(__xludf.DUMMYFUNCTION("""COMPUTED_VALUE"""),0.0)</f>
        <v>0</v>
      </c>
      <c r="S45" s="1071"/>
      <c r="T45" s="1045"/>
      <c r="U45" s="1045" t="str">
        <f>IFERROR(__xludf.DUMMYFUNCTION("""COMPUTED_VALUE"""),"#VALUE!")</f>
        <v>#VALUE!</v>
      </c>
      <c r="V45" s="1046"/>
      <c r="W45" s="1072"/>
      <c r="X45" s="1048">
        <f>IFERROR(__xludf.DUMMYFUNCTION("""COMPUTED_VALUE"""),9.0)</f>
        <v>9</v>
      </c>
      <c r="Y45" s="1073"/>
      <c r="Z45" s="1047"/>
      <c r="AA45" s="1050"/>
      <c r="AB45" s="1056"/>
    </row>
    <row r="46" ht="15.75" customHeight="1">
      <c r="A46" s="1064">
        <f>IFERROR(__xludf.DUMMYFUNCTION("""COMPUTED_VALUE"""),41.0)</f>
        <v>41</v>
      </c>
      <c r="B46" s="1031" t="s">
        <v>108</v>
      </c>
      <c r="C46" s="768" t="str">
        <f>IFERROR(__xludf.DUMMYFUNCTION("""COMPUTED_VALUE"""),"Radhiyatul Fajri, S.Kom, M.Pd.T, M.Kom.")</f>
        <v>Radhiyatul Fajri, S.Kom, M.Pd.T, M.Kom.</v>
      </c>
      <c r="D46" s="716"/>
      <c r="E46" s="1034"/>
      <c r="F46" s="1033">
        <f>IFERROR(__xludf.DUMMYFUNCTION("""COMPUTED_VALUE"""),0.0)</f>
        <v>0</v>
      </c>
      <c r="G46" s="1034"/>
      <c r="H46" s="1057"/>
      <c r="I46" s="1036">
        <f>IFERROR(__xludf.DUMMYFUNCTION("""COMPUTED_VALUE"""),0.0)</f>
        <v>0</v>
      </c>
      <c r="J46" s="1074"/>
      <c r="K46" s="1054"/>
      <c r="L46" s="1039">
        <f>IFERROR(__xludf.DUMMYFUNCTION("""COMPUTED_VALUE"""),0.0)</f>
        <v>0</v>
      </c>
      <c r="M46" s="1055"/>
      <c r="N46" s="1041"/>
      <c r="O46" s="1042">
        <f>IFERROR(__xludf.DUMMYFUNCTION("""COMPUTED_VALUE"""),0.0)</f>
        <v>0</v>
      </c>
      <c r="P46" s="1070"/>
      <c r="Q46" s="1071"/>
      <c r="R46" s="1044">
        <f>IFERROR(__xludf.DUMMYFUNCTION("""COMPUTED_VALUE"""),0.0)</f>
        <v>0</v>
      </c>
      <c r="S46" s="1071"/>
      <c r="T46" s="1045"/>
      <c r="U46" s="1045" t="str">
        <f>IFERROR(__xludf.DUMMYFUNCTION("""COMPUTED_VALUE"""),"#VALUE!")</f>
        <v>#VALUE!</v>
      </c>
      <c r="V46" s="1046"/>
      <c r="W46" s="1072"/>
      <c r="X46" s="1048">
        <f>IFERROR(__xludf.DUMMYFUNCTION("""COMPUTED_VALUE"""),6.0)</f>
        <v>6</v>
      </c>
      <c r="Y46" s="1073"/>
      <c r="Z46" s="1047"/>
      <c r="AA46" s="1050"/>
      <c r="AB46" s="1056"/>
    </row>
    <row r="47" ht="15.75" customHeight="1">
      <c r="A47" s="1064">
        <f>IFERROR(__xludf.DUMMYFUNCTION("""COMPUTED_VALUE"""),42.0)</f>
        <v>42</v>
      </c>
      <c r="B47" s="1031" t="s">
        <v>108</v>
      </c>
      <c r="C47" s="768" t="str">
        <f>IFERROR(__xludf.DUMMYFUNCTION("""COMPUTED_VALUE"""),"Siska Pebiana S.Kom., M.Kom.")</f>
        <v>Siska Pebiana S.Kom., M.Kom.</v>
      </c>
      <c r="D47" s="716"/>
      <c r="E47" s="1034"/>
      <c r="F47" s="1033">
        <f>IFERROR(__xludf.DUMMYFUNCTION("""COMPUTED_VALUE"""),0.0)</f>
        <v>0</v>
      </c>
      <c r="G47" s="1034"/>
      <c r="H47" s="1057"/>
      <c r="I47" s="1036">
        <f>IFERROR(__xludf.DUMMYFUNCTION("""COMPUTED_VALUE"""),1.0)</f>
        <v>1</v>
      </c>
      <c r="J47" s="1074"/>
      <c r="K47" s="1054"/>
      <c r="L47" s="1039">
        <f>IFERROR(__xludf.DUMMYFUNCTION("""COMPUTED_VALUE"""),0.0)</f>
        <v>0</v>
      </c>
      <c r="M47" s="1055"/>
      <c r="N47" s="1041"/>
      <c r="O47" s="1042">
        <f>IFERROR(__xludf.DUMMYFUNCTION("""COMPUTED_VALUE"""),0.0)</f>
        <v>0</v>
      </c>
      <c r="P47" s="1070"/>
      <c r="Q47" s="1071"/>
      <c r="R47" s="1044">
        <f>IFERROR(__xludf.DUMMYFUNCTION("""COMPUTED_VALUE"""),0.0)</f>
        <v>0</v>
      </c>
      <c r="S47" s="1071"/>
      <c r="T47" s="1045"/>
      <c r="U47" s="1045" t="str">
        <f>IFERROR(__xludf.DUMMYFUNCTION("""COMPUTED_VALUE"""),"#VALUE!")</f>
        <v>#VALUE!</v>
      </c>
      <c r="V47" s="1046"/>
      <c r="W47" s="1072"/>
      <c r="X47" s="1048">
        <f>IFERROR(__xludf.DUMMYFUNCTION("""COMPUTED_VALUE"""),7.0)</f>
        <v>7</v>
      </c>
      <c r="Y47" s="1073"/>
      <c r="Z47" s="1047"/>
      <c r="AA47" s="1050"/>
      <c r="AB47" s="1056"/>
    </row>
    <row r="48" ht="15.75" customHeight="1">
      <c r="A48" s="1064">
        <f>IFERROR(__xludf.DUMMYFUNCTION("""COMPUTED_VALUE"""),43.0)</f>
        <v>43</v>
      </c>
      <c r="B48" s="1031" t="s">
        <v>108</v>
      </c>
      <c r="C48" s="768" t="str">
        <f>IFERROR(__xludf.DUMMYFUNCTION("""COMPUTED_VALUE"""),"Ir. Tri Sampurno, M.Sc")</f>
        <v>Ir. Tri Sampurno, M.Sc</v>
      </c>
      <c r="D48" s="716"/>
      <c r="E48" s="1034"/>
      <c r="F48" s="1033">
        <f>IFERROR(__xludf.DUMMYFUNCTION("""COMPUTED_VALUE"""),0.0)</f>
        <v>0</v>
      </c>
      <c r="G48" s="1034"/>
      <c r="H48" s="1057"/>
      <c r="I48" s="1036">
        <f>IFERROR(__xludf.DUMMYFUNCTION("""COMPUTED_VALUE"""),0.0)</f>
        <v>0</v>
      </c>
      <c r="J48" s="1074"/>
      <c r="K48" s="1054"/>
      <c r="L48" s="1039">
        <f>IFERROR(__xludf.DUMMYFUNCTION("""COMPUTED_VALUE"""),0.0)</f>
        <v>0</v>
      </c>
      <c r="M48" s="1055"/>
      <c r="N48" s="1041"/>
      <c r="O48" s="1042">
        <f>IFERROR(__xludf.DUMMYFUNCTION("""COMPUTED_VALUE"""),0.0)</f>
        <v>0</v>
      </c>
      <c r="P48" s="1070"/>
      <c r="Q48" s="1071"/>
      <c r="R48" s="1044">
        <f>IFERROR(__xludf.DUMMYFUNCTION("""COMPUTED_VALUE"""),0.0)</f>
        <v>0</v>
      </c>
      <c r="S48" s="1071"/>
      <c r="T48" s="1045"/>
      <c r="U48" s="1045" t="str">
        <f>IFERROR(__xludf.DUMMYFUNCTION("""COMPUTED_VALUE"""),"#VALUE!")</f>
        <v>#VALUE!</v>
      </c>
      <c r="V48" s="1046"/>
      <c r="W48" s="1072"/>
      <c r="X48" s="1048">
        <f>IFERROR(__xludf.DUMMYFUNCTION("""COMPUTED_VALUE"""),3.0)</f>
        <v>3</v>
      </c>
      <c r="Y48" s="1073"/>
      <c r="Z48" s="1047"/>
      <c r="AA48" s="1050"/>
      <c r="AB48" s="1056"/>
    </row>
    <row r="49" ht="15.75" customHeight="1">
      <c r="A49" s="1064">
        <f>IFERROR(__xludf.DUMMYFUNCTION("""COMPUTED_VALUE"""),44.0)</f>
        <v>44</v>
      </c>
      <c r="B49" s="1031" t="s">
        <v>108</v>
      </c>
      <c r="C49" s="768" t="str">
        <f>IFERROR(__xludf.DUMMYFUNCTION("""COMPUTED_VALUE"""),"Siti Shaleha, S.ST")</f>
        <v>Siti Shaleha, S.ST</v>
      </c>
      <c r="D49" s="716"/>
      <c r="E49" s="1034"/>
      <c r="F49" s="1033">
        <f>IFERROR(__xludf.DUMMYFUNCTION("""COMPUTED_VALUE"""),0.0)</f>
        <v>0</v>
      </c>
      <c r="G49" s="1034"/>
      <c r="H49" s="1057"/>
      <c r="I49" s="1036">
        <f>IFERROR(__xludf.DUMMYFUNCTION("""COMPUTED_VALUE"""),0.0)</f>
        <v>0</v>
      </c>
      <c r="J49" s="1074"/>
      <c r="K49" s="1054"/>
      <c r="L49" s="1039">
        <f>IFERROR(__xludf.DUMMYFUNCTION("""COMPUTED_VALUE"""),1.0)</f>
        <v>1</v>
      </c>
      <c r="M49" s="1055"/>
      <c r="N49" s="1041"/>
      <c r="O49" s="1042">
        <f>IFERROR(__xludf.DUMMYFUNCTION("""COMPUTED_VALUE"""),0.0)</f>
        <v>0</v>
      </c>
      <c r="P49" s="1070"/>
      <c r="Q49" s="1071"/>
      <c r="R49" s="1044">
        <f>IFERROR(__xludf.DUMMYFUNCTION("""COMPUTED_VALUE"""),0.0)</f>
        <v>0</v>
      </c>
      <c r="S49" s="1071"/>
      <c r="T49" s="1045"/>
      <c r="U49" s="1045" t="str">
        <f>IFERROR(__xludf.DUMMYFUNCTION("""COMPUTED_VALUE"""),"#VALUE!")</f>
        <v>#VALUE!</v>
      </c>
      <c r="V49" s="1046"/>
      <c r="W49" s="1072"/>
      <c r="X49" s="1048">
        <f>IFERROR(__xludf.DUMMYFUNCTION("""COMPUTED_VALUE"""),5.0)</f>
        <v>5</v>
      </c>
      <c r="Y49" s="1073"/>
      <c r="Z49" s="1047"/>
      <c r="AA49" s="1050"/>
      <c r="AB49" s="1056"/>
    </row>
    <row r="50" ht="15.75" customHeight="1">
      <c r="A50" s="1064">
        <f>IFERROR(__xludf.DUMMYFUNCTION("""COMPUTED_VALUE"""),45.0)</f>
        <v>45</v>
      </c>
      <c r="B50" s="1031" t="s">
        <v>108</v>
      </c>
      <c r="C50" s="768" t="str">
        <f>IFERROR(__xludf.DUMMYFUNCTION("""COMPUTED_VALUE"""),"Dr. Dipl.(FH) Ing Asril, M.Sc")</f>
        <v>Dr. Dipl.(FH) Ing Asril, M.Sc</v>
      </c>
      <c r="D50" s="716"/>
      <c r="E50" s="1034"/>
      <c r="F50" s="1033">
        <f>IFERROR(__xludf.DUMMYFUNCTION("""COMPUTED_VALUE"""),0.0)</f>
        <v>0</v>
      </c>
      <c r="G50" s="1034"/>
      <c r="H50" s="1057"/>
      <c r="I50" s="1036">
        <f>IFERROR(__xludf.DUMMYFUNCTION("""COMPUTED_VALUE"""),1.0)</f>
        <v>1</v>
      </c>
      <c r="J50" s="1074"/>
      <c r="K50" s="1054"/>
      <c r="L50" s="1039">
        <f>IFERROR(__xludf.DUMMYFUNCTION("""COMPUTED_VALUE"""),0.0)</f>
        <v>0</v>
      </c>
      <c r="M50" s="1055"/>
      <c r="N50" s="1041"/>
      <c r="O50" s="1042">
        <f>IFERROR(__xludf.DUMMYFUNCTION("""COMPUTED_VALUE"""),0.0)</f>
        <v>0</v>
      </c>
      <c r="P50" s="1070"/>
      <c r="Q50" s="1071"/>
      <c r="R50" s="1044">
        <f>IFERROR(__xludf.DUMMYFUNCTION("""COMPUTED_VALUE"""),0.0)</f>
        <v>0</v>
      </c>
      <c r="S50" s="1071"/>
      <c r="T50" s="1045"/>
      <c r="U50" s="1045" t="str">
        <f>IFERROR(__xludf.DUMMYFUNCTION("""COMPUTED_VALUE"""),"#VALUE!")</f>
        <v>#VALUE!</v>
      </c>
      <c r="V50" s="1046"/>
      <c r="W50" s="1072"/>
      <c r="X50" s="1048">
        <f>IFERROR(__xludf.DUMMYFUNCTION("""COMPUTED_VALUE"""),14.0)</f>
        <v>14</v>
      </c>
      <c r="Y50" s="1073"/>
      <c r="Z50" s="1047"/>
      <c r="AA50" s="1050"/>
      <c r="AB50" s="1056"/>
    </row>
    <row r="51" ht="15.75" customHeight="1">
      <c r="A51" s="1064">
        <f>IFERROR(__xludf.DUMMYFUNCTION("""COMPUTED_VALUE"""),46.0)</f>
        <v>46</v>
      </c>
      <c r="B51" s="1031" t="s">
        <v>108</v>
      </c>
      <c r="C51" s="768" t="str">
        <f>IFERROR(__xludf.DUMMYFUNCTION("""COMPUTED_VALUE"""),"Ir. Gunarso")</f>
        <v>Ir. Gunarso</v>
      </c>
      <c r="D51" s="716"/>
      <c r="E51" s="1034"/>
      <c r="F51" s="1033">
        <f>IFERROR(__xludf.DUMMYFUNCTION("""COMPUTED_VALUE"""),0.0)</f>
        <v>0</v>
      </c>
      <c r="G51" s="1034"/>
      <c r="H51" s="1057"/>
      <c r="I51" s="1036">
        <f>IFERROR(__xludf.DUMMYFUNCTION("""COMPUTED_VALUE"""),1.0)</f>
        <v>1</v>
      </c>
      <c r="J51" s="1074"/>
      <c r="K51" s="1054"/>
      <c r="L51" s="1039">
        <f>IFERROR(__xludf.DUMMYFUNCTION("""COMPUTED_VALUE"""),0.0)</f>
        <v>0</v>
      </c>
      <c r="M51" s="1055"/>
      <c r="N51" s="1041"/>
      <c r="O51" s="1042">
        <f>IFERROR(__xludf.DUMMYFUNCTION("""COMPUTED_VALUE"""),0.0)</f>
        <v>0</v>
      </c>
      <c r="P51" s="1070"/>
      <c r="Q51" s="1071"/>
      <c r="R51" s="1044">
        <f>IFERROR(__xludf.DUMMYFUNCTION("""COMPUTED_VALUE"""),0.0)</f>
        <v>0</v>
      </c>
      <c r="S51" s="1071"/>
      <c r="T51" s="1045"/>
      <c r="U51" s="1045" t="str">
        <f>IFERROR(__xludf.DUMMYFUNCTION("""COMPUTED_VALUE"""),"#VALUE!")</f>
        <v>#VALUE!</v>
      </c>
      <c r="V51" s="1046"/>
      <c r="W51" s="1072"/>
      <c r="X51" s="1048">
        <f>IFERROR(__xludf.DUMMYFUNCTION("""COMPUTED_VALUE"""),12.0)</f>
        <v>12</v>
      </c>
      <c r="Y51" s="1073"/>
      <c r="Z51" s="1047"/>
      <c r="AA51" s="1050"/>
      <c r="AB51" s="1056"/>
    </row>
    <row r="52" ht="15.75" customHeight="1">
      <c r="A52" s="1064">
        <f>IFERROR(__xludf.DUMMYFUNCTION("""COMPUTED_VALUE"""),47.0)</f>
        <v>47</v>
      </c>
      <c r="B52" s="1031" t="s">
        <v>108</v>
      </c>
      <c r="C52" s="768" t="str">
        <f>IFERROR(__xludf.DUMMYFUNCTION("""COMPUTED_VALUE"""),"Agung Santosa, BSEE, M.Kom")</f>
        <v>Agung Santosa, BSEE, M.Kom</v>
      </c>
      <c r="D52" s="716"/>
      <c r="E52" s="1034"/>
      <c r="F52" s="1033">
        <f>IFERROR(__xludf.DUMMYFUNCTION("""COMPUTED_VALUE"""),0.0)</f>
        <v>0</v>
      </c>
      <c r="G52" s="1034"/>
      <c r="H52" s="1057"/>
      <c r="I52" s="1036">
        <f>IFERROR(__xludf.DUMMYFUNCTION("""COMPUTED_VALUE"""),1.0)</f>
        <v>1</v>
      </c>
      <c r="J52" s="1074"/>
      <c r="K52" s="1054"/>
      <c r="L52" s="1039">
        <f>IFERROR(__xludf.DUMMYFUNCTION("""COMPUTED_VALUE"""),0.0)</f>
        <v>0</v>
      </c>
      <c r="M52" s="1055"/>
      <c r="N52" s="1041"/>
      <c r="O52" s="1042">
        <f>IFERROR(__xludf.DUMMYFUNCTION("""COMPUTED_VALUE"""),0.0)</f>
        <v>0</v>
      </c>
      <c r="P52" s="1070"/>
      <c r="Q52" s="1071"/>
      <c r="R52" s="1044">
        <f>IFERROR(__xludf.DUMMYFUNCTION("""COMPUTED_VALUE"""),0.0)</f>
        <v>0</v>
      </c>
      <c r="S52" s="1071"/>
      <c r="T52" s="1045"/>
      <c r="U52" s="1045" t="str">
        <f>IFERROR(__xludf.DUMMYFUNCTION("""COMPUTED_VALUE"""),"#VALUE!")</f>
        <v>#VALUE!</v>
      </c>
      <c r="V52" s="1046"/>
      <c r="W52" s="1072"/>
      <c r="X52" s="1048">
        <f>IFERROR(__xludf.DUMMYFUNCTION("""COMPUTED_VALUE"""),11.0)</f>
        <v>11</v>
      </c>
      <c r="Y52" s="1073"/>
      <c r="Z52" s="1047"/>
      <c r="AA52" s="1050"/>
      <c r="AB52" s="1056"/>
    </row>
    <row r="53" ht="15.75" customHeight="1">
      <c r="A53" s="1064">
        <f>IFERROR(__xludf.DUMMYFUNCTION("""COMPUTED_VALUE"""),48.0)</f>
        <v>48</v>
      </c>
      <c r="B53" s="1031" t="s">
        <v>46</v>
      </c>
      <c r="C53" s="768" t="str">
        <f>IFERROR(__xludf.DUMMYFUNCTION("""COMPUTED_VALUE"""),"Elvira Nurfadhilah, S.Komp., M. Kom")</f>
        <v>Elvira Nurfadhilah, S.Komp., M. Kom</v>
      </c>
      <c r="D53" s="716"/>
      <c r="E53" s="1034"/>
      <c r="F53" s="1033">
        <f>IFERROR(__xludf.DUMMYFUNCTION("""COMPUTED_VALUE"""),0.0)</f>
        <v>0</v>
      </c>
      <c r="G53" s="1034"/>
      <c r="H53" s="1057"/>
      <c r="I53" s="1036">
        <f>IFERROR(__xludf.DUMMYFUNCTION("""COMPUTED_VALUE"""),1.0)</f>
        <v>1</v>
      </c>
      <c r="J53" s="1074"/>
      <c r="K53" s="1054"/>
      <c r="L53" s="1039">
        <f>IFERROR(__xludf.DUMMYFUNCTION("""COMPUTED_VALUE"""),0.0)</f>
        <v>0</v>
      </c>
      <c r="M53" s="1055"/>
      <c r="N53" s="1041"/>
      <c r="O53" s="1042">
        <f>IFERROR(__xludf.DUMMYFUNCTION("""COMPUTED_VALUE"""),0.0)</f>
        <v>0</v>
      </c>
      <c r="P53" s="1070"/>
      <c r="Q53" s="1071"/>
      <c r="R53" s="1044">
        <f>IFERROR(__xludf.DUMMYFUNCTION("""COMPUTED_VALUE"""),0.0)</f>
        <v>0</v>
      </c>
      <c r="S53" s="1071"/>
      <c r="T53" s="1045"/>
      <c r="U53" s="1045" t="str">
        <f>IFERROR(__xludf.DUMMYFUNCTION("""COMPUTED_VALUE"""),"#VALUE!")</f>
        <v>#VALUE!</v>
      </c>
      <c r="V53" s="1046"/>
      <c r="W53" s="1072"/>
      <c r="X53" s="1048">
        <f>IFERROR(__xludf.DUMMYFUNCTION("""COMPUTED_VALUE"""),11.0)</f>
        <v>11</v>
      </c>
      <c r="Y53" s="1073"/>
      <c r="Z53" s="1047"/>
      <c r="AA53" s="1050"/>
      <c r="AB53" s="1056"/>
    </row>
    <row r="54" ht="15.75" customHeight="1">
      <c r="A54" s="1064">
        <f>IFERROR(__xludf.DUMMYFUNCTION("""COMPUTED_VALUE"""),49.0)</f>
        <v>49</v>
      </c>
      <c r="B54" s="1031" t="s">
        <v>58</v>
      </c>
      <c r="C54" s="768" t="str">
        <f>IFERROR(__xludf.DUMMYFUNCTION("""COMPUTED_VALUE"""),"Dra. Andrari Grahitandaru M.Sc.")</f>
        <v>Dra. Andrari Grahitandaru M.Sc.</v>
      </c>
      <c r="D54" s="716"/>
      <c r="E54" s="1034"/>
      <c r="F54" s="1033">
        <f>IFERROR(__xludf.DUMMYFUNCTION("""COMPUTED_VALUE"""),0.0)</f>
        <v>0</v>
      </c>
      <c r="G54" s="1034"/>
      <c r="H54" s="1057"/>
      <c r="I54" s="1036">
        <f>IFERROR(__xludf.DUMMYFUNCTION("""COMPUTED_VALUE"""),0.0)</f>
        <v>0</v>
      </c>
      <c r="J54" s="1074"/>
      <c r="K54" s="1054"/>
      <c r="L54" s="1039">
        <f>IFERROR(__xludf.DUMMYFUNCTION("""COMPUTED_VALUE"""),0.0)</f>
        <v>0</v>
      </c>
      <c r="M54" s="1055"/>
      <c r="N54" s="1041"/>
      <c r="O54" s="1042">
        <f>IFERROR(__xludf.DUMMYFUNCTION("""COMPUTED_VALUE"""),0.0)</f>
        <v>0</v>
      </c>
      <c r="P54" s="1070"/>
      <c r="Q54" s="1071"/>
      <c r="R54" s="1044">
        <f>IFERROR(__xludf.DUMMYFUNCTION("""COMPUTED_VALUE"""),0.0)</f>
        <v>0</v>
      </c>
      <c r="S54" s="1071"/>
      <c r="T54" s="1045"/>
      <c r="U54" s="1045" t="str">
        <f>IFERROR(__xludf.DUMMYFUNCTION("""COMPUTED_VALUE"""),"#VALUE!")</f>
        <v>#VALUE!</v>
      </c>
      <c r="V54" s="1046"/>
      <c r="W54" s="1072"/>
      <c r="X54" s="1048">
        <f>IFERROR(__xludf.DUMMYFUNCTION("""COMPUTED_VALUE"""),0.0)</f>
        <v>0</v>
      </c>
      <c r="Y54" s="1073"/>
      <c r="Z54" s="1047"/>
      <c r="AA54" s="1050"/>
      <c r="AB54" s="1056"/>
    </row>
    <row r="55" ht="15.75" customHeight="1">
      <c r="A55" s="1064">
        <f>IFERROR(__xludf.DUMMYFUNCTION("""COMPUTED_VALUE"""),50.0)</f>
        <v>50</v>
      </c>
      <c r="B55" s="1031" t="s">
        <v>58</v>
      </c>
      <c r="C55" s="768" t="str">
        <f>IFERROR(__xludf.DUMMYFUNCTION("""COMPUTED_VALUE"""),"Drs. Zain Saifullah M.Sc.")</f>
        <v>Drs. Zain Saifullah M.Sc.</v>
      </c>
      <c r="D55" s="716"/>
      <c r="E55" s="1034"/>
      <c r="F55" s="1033">
        <f>IFERROR(__xludf.DUMMYFUNCTION("""COMPUTED_VALUE"""),0.0)</f>
        <v>0</v>
      </c>
      <c r="G55" s="1034"/>
      <c r="H55" s="1057"/>
      <c r="I55" s="1036">
        <f>IFERROR(__xludf.DUMMYFUNCTION("""COMPUTED_VALUE"""),0.0)</f>
        <v>0</v>
      </c>
      <c r="J55" s="1074"/>
      <c r="K55" s="1054"/>
      <c r="L55" s="1039">
        <f>IFERROR(__xludf.DUMMYFUNCTION("""COMPUTED_VALUE"""),0.0)</f>
        <v>0</v>
      </c>
      <c r="M55" s="1055"/>
      <c r="N55" s="1041"/>
      <c r="O55" s="1042">
        <f>IFERROR(__xludf.DUMMYFUNCTION("""COMPUTED_VALUE"""),0.0)</f>
        <v>0</v>
      </c>
      <c r="P55" s="1070"/>
      <c r="Q55" s="1071"/>
      <c r="R55" s="1044">
        <f>IFERROR(__xludf.DUMMYFUNCTION("""COMPUTED_VALUE"""),0.0)</f>
        <v>0</v>
      </c>
      <c r="S55" s="1071"/>
      <c r="T55" s="1045"/>
      <c r="U55" s="1045" t="str">
        <f>IFERROR(__xludf.DUMMYFUNCTION("""COMPUTED_VALUE"""),"#VALUE!")</f>
        <v>#VALUE!</v>
      </c>
      <c r="V55" s="1046"/>
      <c r="W55" s="1072"/>
      <c r="X55" s="1048">
        <f>IFERROR(__xludf.DUMMYFUNCTION("""COMPUTED_VALUE"""),0.0)</f>
        <v>0</v>
      </c>
      <c r="Y55" s="1073"/>
      <c r="Z55" s="1047"/>
      <c r="AA55" s="1050"/>
      <c r="AB55" s="1056"/>
    </row>
    <row r="56" ht="15.75" customHeight="1">
      <c r="A56" s="1064">
        <f>IFERROR(__xludf.DUMMYFUNCTION("""COMPUTED_VALUE"""),51.0)</f>
        <v>51</v>
      </c>
      <c r="B56" s="1031" t="s">
        <v>58</v>
      </c>
      <c r="C56" s="768" t="str">
        <f>IFERROR(__xludf.DUMMYFUNCTION("""COMPUTED_VALUE"""),"Nimas Ayu Untariyati, S.Kom, M.T.I")</f>
        <v>Nimas Ayu Untariyati, S.Kom, M.T.I</v>
      </c>
      <c r="D56" s="716"/>
      <c r="E56" s="1034"/>
      <c r="F56" s="1033">
        <f>IFERROR(__xludf.DUMMYFUNCTION("""COMPUTED_VALUE"""),0.0)</f>
        <v>0</v>
      </c>
      <c r="G56" s="1034"/>
      <c r="H56" s="1057"/>
      <c r="I56" s="1036">
        <f>IFERROR(__xludf.DUMMYFUNCTION("""COMPUTED_VALUE"""),0.0)</f>
        <v>0</v>
      </c>
      <c r="J56" s="1074"/>
      <c r="K56" s="1054"/>
      <c r="L56" s="1039">
        <f>IFERROR(__xludf.DUMMYFUNCTION("""COMPUTED_VALUE"""),0.0)</f>
        <v>0</v>
      </c>
      <c r="M56" s="1055"/>
      <c r="N56" s="1041"/>
      <c r="O56" s="1042">
        <f>IFERROR(__xludf.DUMMYFUNCTION("""COMPUTED_VALUE"""),0.0)</f>
        <v>0</v>
      </c>
      <c r="P56" s="1070"/>
      <c r="Q56" s="1071"/>
      <c r="R56" s="1044">
        <f>IFERROR(__xludf.DUMMYFUNCTION("""COMPUTED_VALUE"""),0.0)</f>
        <v>0</v>
      </c>
      <c r="S56" s="1071"/>
      <c r="T56" s="1045"/>
      <c r="U56" s="1045" t="str">
        <f>IFERROR(__xludf.DUMMYFUNCTION("""COMPUTED_VALUE"""),"#VALUE!")</f>
        <v>#VALUE!</v>
      </c>
      <c r="V56" s="1046"/>
      <c r="W56" s="1072"/>
      <c r="X56" s="1048">
        <f>IFERROR(__xludf.DUMMYFUNCTION("""COMPUTED_VALUE"""),1.0)</f>
        <v>1</v>
      </c>
      <c r="Y56" s="1073"/>
      <c r="Z56" s="1047"/>
      <c r="AA56" s="1050"/>
      <c r="AB56" s="1056"/>
    </row>
    <row r="57" ht="15.75" customHeight="1">
      <c r="A57" s="1064">
        <f>IFERROR(__xludf.DUMMYFUNCTION("""COMPUTED_VALUE"""),52.0)</f>
        <v>52</v>
      </c>
      <c r="B57" s="1031" t="s">
        <v>58</v>
      </c>
      <c r="C57" s="768" t="str">
        <f>IFERROR(__xludf.DUMMYFUNCTION("""COMPUTED_VALUE"""),"Miranti Jatnika Riski S.Kom")</f>
        <v>Miranti Jatnika Riski S.Kom</v>
      </c>
      <c r="D57" s="716"/>
      <c r="E57" s="1034"/>
      <c r="F57" s="1033">
        <f>IFERROR(__xludf.DUMMYFUNCTION("""COMPUTED_VALUE"""),0.0)</f>
        <v>0</v>
      </c>
      <c r="G57" s="1034"/>
      <c r="H57" s="1057"/>
      <c r="I57" s="1036">
        <f>IFERROR(__xludf.DUMMYFUNCTION("""COMPUTED_VALUE"""),0.0)</f>
        <v>0</v>
      </c>
      <c r="J57" s="1074"/>
      <c r="K57" s="1054"/>
      <c r="L57" s="1039">
        <f>IFERROR(__xludf.DUMMYFUNCTION("""COMPUTED_VALUE"""),0.0)</f>
        <v>0</v>
      </c>
      <c r="M57" s="1055"/>
      <c r="N57" s="1041"/>
      <c r="O57" s="1042">
        <f>IFERROR(__xludf.DUMMYFUNCTION("""COMPUTED_VALUE"""),0.0)</f>
        <v>0</v>
      </c>
      <c r="P57" s="1070"/>
      <c r="Q57" s="1071"/>
      <c r="R57" s="1044">
        <f>IFERROR(__xludf.DUMMYFUNCTION("""COMPUTED_VALUE"""),0.0)</f>
        <v>0</v>
      </c>
      <c r="S57" s="1071"/>
      <c r="T57" s="1045"/>
      <c r="U57" s="1045" t="str">
        <f>IFERROR(__xludf.DUMMYFUNCTION("""COMPUTED_VALUE"""),"#VALUE!")</f>
        <v>#VALUE!</v>
      </c>
      <c r="V57" s="1046"/>
      <c r="W57" s="1072"/>
      <c r="X57" s="1048">
        <f>IFERROR(__xludf.DUMMYFUNCTION("""COMPUTED_VALUE"""),0.0)</f>
        <v>0</v>
      </c>
      <c r="Y57" s="1073"/>
      <c r="Z57" s="1047"/>
      <c r="AA57" s="1050"/>
      <c r="AB57" s="1056"/>
    </row>
    <row r="58" ht="15.75" customHeight="1">
      <c r="A58" s="1064">
        <f>IFERROR(__xludf.DUMMYFUNCTION("""COMPUTED_VALUE"""),53.0)</f>
        <v>53</v>
      </c>
      <c r="B58" s="1031" t="s">
        <v>58</v>
      </c>
      <c r="C58" s="768" t="str">
        <f>IFERROR(__xludf.DUMMYFUNCTION("""COMPUTED_VALUE"""),"Harnum Annisa Prafitia, S.Si")</f>
        <v>Harnum Annisa Prafitia, S.Si</v>
      </c>
      <c r="D58" s="716"/>
      <c r="E58" s="1034"/>
      <c r="F58" s="1033">
        <f>IFERROR(__xludf.DUMMYFUNCTION("""COMPUTED_VALUE"""),0.0)</f>
        <v>0</v>
      </c>
      <c r="G58" s="1034"/>
      <c r="H58" s="1057"/>
      <c r="I58" s="1036">
        <f>IFERROR(__xludf.DUMMYFUNCTION("""COMPUTED_VALUE"""),0.0)</f>
        <v>0</v>
      </c>
      <c r="J58" s="1074"/>
      <c r="K58" s="1054"/>
      <c r="L58" s="1039">
        <f>IFERROR(__xludf.DUMMYFUNCTION("""COMPUTED_VALUE"""),0.0)</f>
        <v>0</v>
      </c>
      <c r="M58" s="1055"/>
      <c r="N58" s="1041"/>
      <c r="O58" s="1042">
        <f>IFERROR(__xludf.DUMMYFUNCTION("""COMPUTED_VALUE"""),0.0)</f>
        <v>0</v>
      </c>
      <c r="P58" s="1070"/>
      <c r="Q58" s="1071"/>
      <c r="R58" s="1044">
        <f>IFERROR(__xludf.DUMMYFUNCTION("""COMPUTED_VALUE"""),0.0)</f>
        <v>0</v>
      </c>
      <c r="S58" s="1071"/>
      <c r="T58" s="1045"/>
      <c r="U58" s="1045" t="str">
        <f>IFERROR(__xludf.DUMMYFUNCTION("""COMPUTED_VALUE"""),"#VALUE!")</f>
        <v>#VALUE!</v>
      </c>
      <c r="V58" s="1046"/>
      <c r="W58" s="1072"/>
      <c r="X58" s="1048">
        <f>IFERROR(__xludf.DUMMYFUNCTION("""COMPUTED_VALUE"""),3.0)</f>
        <v>3</v>
      </c>
      <c r="Y58" s="1073"/>
      <c r="Z58" s="1047"/>
      <c r="AA58" s="1050"/>
      <c r="AB58" s="1056"/>
    </row>
    <row r="59" ht="15.75" customHeight="1">
      <c r="A59" s="1064">
        <f>IFERROR(__xludf.DUMMYFUNCTION("""COMPUTED_VALUE"""),54.0)</f>
        <v>54</v>
      </c>
      <c r="B59" s="1031" t="s">
        <v>58</v>
      </c>
      <c r="C59" s="768" t="str">
        <f>IFERROR(__xludf.DUMMYFUNCTION("""COMPUTED_VALUE"""),"Wardatul Hanifah, S.Kom")</f>
        <v>Wardatul Hanifah, S.Kom</v>
      </c>
      <c r="D59" s="716"/>
      <c r="E59" s="1034"/>
      <c r="F59" s="1033">
        <f>IFERROR(__xludf.DUMMYFUNCTION("""COMPUTED_VALUE"""),0.0)</f>
        <v>0</v>
      </c>
      <c r="G59" s="1034"/>
      <c r="H59" s="1057"/>
      <c r="I59" s="1036">
        <f>IFERROR(__xludf.DUMMYFUNCTION("""COMPUTED_VALUE"""),0.0)</f>
        <v>0</v>
      </c>
      <c r="J59" s="1074"/>
      <c r="K59" s="1054"/>
      <c r="L59" s="1039">
        <f>IFERROR(__xludf.DUMMYFUNCTION("""COMPUTED_VALUE"""),0.0)</f>
        <v>0</v>
      </c>
      <c r="M59" s="1055"/>
      <c r="N59" s="1041"/>
      <c r="O59" s="1042">
        <f>IFERROR(__xludf.DUMMYFUNCTION("""COMPUTED_VALUE"""),0.0)</f>
        <v>0</v>
      </c>
      <c r="P59" s="1070"/>
      <c r="Q59" s="1071"/>
      <c r="R59" s="1044">
        <f>IFERROR(__xludf.DUMMYFUNCTION("""COMPUTED_VALUE"""),0.0)</f>
        <v>0</v>
      </c>
      <c r="S59" s="1071"/>
      <c r="T59" s="1045"/>
      <c r="U59" s="1045" t="str">
        <f>IFERROR(__xludf.DUMMYFUNCTION("""COMPUTED_VALUE"""),"#VALUE!")</f>
        <v>#VALUE!</v>
      </c>
      <c r="V59" s="1046"/>
      <c r="W59" s="1072"/>
      <c r="X59" s="1048">
        <f>IFERROR(__xludf.DUMMYFUNCTION("""COMPUTED_VALUE"""),0.0)</f>
        <v>0</v>
      </c>
      <c r="Y59" s="1073"/>
      <c r="Z59" s="1047"/>
      <c r="AA59" s="1050"/>
      <c r="AB59" s="1056"/>
    </row>
    <row r="60" ht="15.75" customHeight="1">
      <c r="A60" s="1064">
        <f>IFERROR(__xludf.DUMMYFUNCTION("""COMPUTED_VALUE"""),55.0)</f>
        <v>55</v>
      </c>
      <c r="B60" s="1031" t="s">
        <v>58</v>
      </c>
      <c r="C60" s="768" t="str">
        <f>IFERROR(__xludf.DUMMYFUNCTION("""COMPUTED_VALUE"""),"Retno Anggreini Dyah Ayuningtias, S.Kom")</f>
        <v>Retno Anggreini Dyah Ayuningtias, S.Kom</v>
      </c>
      <c r="D60" s="716"/>
      <c r="E60" s="1034"/>
      <c r="F60" s="1033">
        <f>IFERROR(__xludf.DUMMYFUNCTION("""COMPUTED_VALUE"""),0.0)</f>
        <v>0</v>
      </c>
      <c r="G60" s="1034"/>
      <c r="H60" s="1057"/>
      <c r="I60" s="1036">
        <f>IFERROR(__xludf.DUMMYFUNCTION("""COMPUTED_VALUE"""),0.0)</f>
        <v>0</v>
      </c>
      <c r="J60" s="1074"/>
      <c r="K60" s="1054"/>
      <c r="L60" s="1039">
        <f>IFERROR(__xludf.DUMMYFUNCTION("""COMPUTED_VALUE"""),0.0)</f>
        <v>0</v>
      </c>
      <c r="M60" s="1055"/>
      <c r="N60" s="1041"/>
      <c r="O60" s="1042">
        <f>IFERROR(__xludf.DUMMYFUNCTION("""COMPUTED_VALUE"""),0.0)</f>
        <v>0</v>
      </c>
      <c r="P60" s="1070"/>
      <c r="Q60" s="1071"/>
      <c r="R60" s="1044">
        <f>IFERROR(__xludf.DUMMYFUNCTION("""COMPUTED_VALUE"""),0.0)</f>
        <v>0</v>
      </c>
      <c r="S60" s="1071"/>
      <c r="T60" s="1045"/>
      <c r="U60" s="1045" t="str">
        <f>IFERROR(__xludf.DUMMYFUNCTION("""COMPUTED_VALUE"""),"#VALUE!")</f>
        <v>#VALUE!</v>
      </c>
      <c r="V60" s="1046"/>
      <c r="W60" s="1072"/>
      <c r="X60" s="1048">
        <f>IFERROR(__xludf.DUMMYFUNCTION("""COMPUTED_VALUE"""),0.0)</f>
        <v>0</v>
      </c>
      <c r="Y60" s="1073"/>
      <c r="Z60" s="1047"/>
      <c r="AA60" s="1050"/>
      <c r="AB60" s="1056"/>
    </row>
    <row r="61" ht="15.75" customHeight="1">
      <c r="A61" s="1064">
        <f>IFERROR(__xludf.DUMMYFUNCTION("""COMPUTED_VALUE"""),56.0)</f>
        <v>56</v>
      </c>
      <c r="B61" s="1031" t="s">
        <v>58</v>
      </c>
      <c r="C61" s="768" t="str">
        <f>IFERROR(__xludf.DUMMYFUNCTION("""COMPUTED_VALUE"""),"Mochammad Fikri, S.Kom")</f>
        <v>Mochammad Fikri, S.Kom</v>
      </c>
      <c r="D61" s="716"/>
      <c r="E61" s="1034"/>
      <c r="F61" s="1033">
        <f>IFERROR(__xludf.DUMMYFUNCTION("""COMPUTED_VALUE"""),0.0)</f>
        <v>0</v>
      </c>
      <c r="G61" s="1034"/>
      <c r="H61" s="1057"/>
      <c r="I61" s="1036">
        <f>IFERROR(__xludf.DUMMYFUNCTION("""COMPUTED_VALUE"""),0.0)</f>
        <v>0</v>
      </c>
      <c r="J61" s="1074"/>
      <c r="K61" s="1054"/>
      <c r="L61" s="1039">
        <f>IFERROR(__xludf.DUMMYFUNCTION("""COMPUTED_VALUE"""),0.0)</f>
        <v>0</v>
      </c>
      <c r="M61" s="1055"/>
      <c r="N61" s="1041"/>
      <c r="O61" s="1042">
        <f>IFERROR(__xludf.DUMMYFUNCTION("""COMPUTED_VALUE"""),0.0)</f>
        <v>0</v>
      </c>
      <c r="P61" s="1070"/>
      <c r="Q61" s="1071"/>
      <c r="R61" s="1044">
        <f>IFERROR(__xludf.DUMMYFUNCTION("""COMPUTED_VALUE"""),0.0)</f>
        <v>0</v>
      </c>
      <c r="S61" s="1071"/>
      <c r="T61" s="1045"/>
      <c r="U61" s="1045" t="str">
        <f>IFERROR(__xludf.DUMMYFUNCTION("""COMPUTED_VALUE"""),"#VALUE!")</f>
        <v>#VALUE!</v>
      </c>
      <c r="V61" s="1046"/>
      <c r="W61" s="1072"/>
      <c r="X61" s="1048">
        <f>IFERROR(__xludf.DUMMYFUNCTION("""COMPUTED_VALUE"""),0.0)</f>
        <v>0</v>
      </c>
      <c r="Y61" s="1073"/>
      <c r="Z61" s="1047"/>
      <c r="AA61" s="1050"/>
      <c r="AB61" s="1056"/>
    </row>
    <row r="62" ht="15.75" customHeight="1">
      <c r="A62" s="1064">
        <f>IFERROR(__xludf.DUMMYFUNCTION("""COMPUTED_VALUE"""),57.0)</f>
        <v>57</v>
      </c>
      <c r="B62" s="1031" t="s">
        <v>58</v>
      </c>
      <c r="C62" s="768" t="str">
        <f>IFERROR(__xludf.DUMMYFUNCTION("""COMPUTED_VALUE"""),"Friyogi Resvy Mahda, S.Si")</f>
        <v>Friyogi Resvy Mahda, S.Si</v>
      </c>
      <c r="D62" s="716"/>
      <c r="E62" s="1034"/>
      <c r="F62" s="1033">
        <f>IFERROR(__xludf.DUMMYFUNCTION("""COMPUTED_VALUE"""),0.0)</f>
        <v>0</v>
      </c>
      <c r="G62" s="1034"/>
      <c r="H62" s="1057"/>
      <c r="I62" s="1036">
        <f>IFERROR(__xludf.DUMMYFUNCTION("""COMPUTED_VALUE"""),0.0)</f>
        <v>0</v>
      </c>
      <c r="J62" s="1074"/>
      <c r="K62" s="1054"/>
      <c r="L62" s="1039">
        <f>IFERROR(__xludf.DUMMYFUNCTION("""COMPUTED_VALUE"""),0.0)</f>
        <v>0</v>
      </c>
      <c r="M62" s="1055"/>
      <c r="N62" s="1041"/>
      <c r="O62" s="1042">
        <f>IFERROR(__xludf.DUMMYFUNCTION("""COMPUTED_VALUE"""),0.0)</f>
        <v>0</v>
      </c>
      <c r="P62" s="1070"/>
      <c r="Q62" s="1071"/>
      <c r="R62" s="1044">
        <f>IFERROR(__xludf.DUMMYFUNCTION("""COMPUTED_VALUE"""),0.0)</f>
        <v>0</v>
      </c>
      <c r="S62" s="1071"/>
      <c r="T62" s="1045"/>
      <c r="U62" s="1045" t="str">
        <f>IFERROR(__xludf.DUMMYFUNCTION("""COMPUTED_VALUE"""),"#VALUE!")</f>
        <v>#VALUE!</v>
      </c>
      <c r="V62" s="1046"/>
      <c r="W62" s="1072"/>
      <c r="X62" s="1048">
        <f>IFERROR(__xludf.DUMMYFUNCTION("""COMPUTED_VALUE"""),0.0)</f>
        <v>0</v>
      </c>
      <c r="Y62" s="1073"/>
      <c r="Z62" s="1047"/>
      <c r="AA62" s="1050"/>
      <c r="AB62" s="1056"/>
    </row>
    <row r="63" ht="15.75" customHeight="1">
      <c r="A63" s="1064">
        <f>IFERROR(__xludf.DUMMYFUNCTION("""COMPUTED_VALUE"""),58.0)</f>
        <v>58</v>
      </c>
      <c r="B63" s="1031" t="s">
        <v>58</v>
      </c>
      <c r="C63" s="768" t="str">
        <f>IFERROR(__xludf.DUMMYFUNCTION("""COMPUTED_VALUE"""),"Sopian Amir, S.Kom")</f>
        <v>Sopian Amir, S.Kom</v>
      </c>
      <c r="D63" s="716"/>
      <c r="E63" s="1034"/>
      <c r="F63" s="1033">
        <f>IFERROR(__xludf.DUMMYFUNCTION("""COMPUTED_VALUE"""),0.0)</f>
        <v>0</v>
      </c>
      <c r="G63" s="1034"/>
      <c r="H63" s="1057"/>
      <c r="I63" s="1036">
        <f>IFERROR(__xludf.DUMMYFUNCTION("""COMPUTED_VALUE"""),0.0)</f>
        <v>0</v>
      </c>
      <c r="J63" s="1074"/>
      <c r="K63" s="1054"/>
      <c r="L63" s="1039">
        <f>IFERROR(__xludf.DUMMYFUNCTION("""COMPUTED_VALUE"""),0.0)</f>
        <v>0</v>
      </c>
      <c r="M63" s="1055"/>
      <c r="N63" s="1041"/>
      <c r="O63" s="1042">
        <f>IFERROR(__xludf.DUMMYFUNCTION("""COMPUTED_VALUE"""),0.0)</f>
        <v>0</v>
      </c>
      <c r="P63" s="1070"/>
      <c r="Q63" s="1071"/>
      <c r="R63" s="1044">
        <f>IFERROR(__xludf.DUMMYFUNCTION("""COMPUTED_VALUE"""),0.0)</f>
        <v>0</v>
      </c>
      <c r="S63" s="1071"/>
      <c r="T63" s="1045"/>
      <c r="U63" s="1045" t="str">
        <f>IFERROR(__xludf.DUMMYFUNCTION("""COMPUTED_VALUE"""),"#VALUE!")</f>
        <v>#VALUE!</v>
      </c>
      <c r="V63" s="1046"/>
      <c r="W63" s="1072"/>
      <c r="X63" s="1048">
        <f>IFERROR(__xludf.DUMMYFUNCTION("""COMPUTED_VALUE"""),0.0)</f>
        <v>0</v>
      </c>
      <c r="Y63" s="1073"/>
      <c r="Z63" s="1047"/>
      <c r="AA63" s="1050"/>
      <c r="AB63" s="1056"/>
    </row>
    <row r="64" ht="15.75" customHeight="1">
      <c r="A64" s="1064">
        <f>IFERROR(__xludf.DUMMYFUNCTION("""COMPUTED_VALUE"""),59.0)</f>
        <v>59</v>
      </c>
      <c r="B64" s="1031" t="s">
        <v>58</v>
      </c>
      <c r="C64" s="768" t="str">
        <f>IFERROR(__xludf.DUMMYFUNCTION("""COMPUTED_VALUE"""),"Armita Widyasuri, S.Kom")</f>
        <v>Armita Widyasuri, S.Kom</v>
      </c>
      <c r="D64" s="716"/>
      <c r="E64" s="1034"/>
      <c r="F64" s="1033">
        <f>IFERROR(__xludf.DUMMYFUNCTION("""COMPUTED_VALUE"""),0.0)</f>
        <v>0</v>
      </c>
      <c r="G64" s="1034"/>
      <c r="H64" s="1057"/>
      <c r="I64" s="1036">
        <f>IFERROR(__xludf.DUMMYFUNCTION("""COMPUTED_VALUE"""),0.0)</f>
        <v>0</v>
      </c>
      <c r="J64" s="1074"/>
      <c r="K64" s="1054"/>
      <c r="L64" s="1039">
        <f>IFERROR(__xludf.DUMMYFUNCTION("""COMPUTED_VALUE"""),0.0)</f>
        <v>0</v>
      </c>
      <c r="M64" s="1055"/>
      <c r="N64" s="1041"/>
      <c r="O64" s="1042">
        <f>IFERROR(__xludf.DUMMYFUNCTION("""COMPUTED_VALUE"""),0.0)</f>
        <v>0</v>
      </c>
      <c r="P64" s="1070"/>
      <c r="Q64" s="1071"/>
      <c r="R64" s="1044">
        <f>IFERROR(__xludf.DUMMYFUNCTION("""COMPUTED_VALUE"""),0.0)</f>
        <v>0</v>
      </c>
      <c r="S64" s="1071"/>
      <c r="T64" s="1045"/>
      <c r="U64" s="1045" t="str">
        <f>IFERROR(__xludf.DUMMYFUNCTION("""COMPUTED_VALUE"""),"#VALUE!")</f>
        <v>#VALUE!</v>
      </c>
      <c r="V64" s="1046"/>
      <c r="W64" s="1072"/>
      <c r="X64" s="1048">
        <f>IFERROR(__xludf.DUMMYFUNCTION("""COMPUTED_VALUE"""),0.0)</f>
        <v>0</v>
      </c>
      <c r="Y64" s="1073"/>
      <c r="Z64" s="1047"/>
      <c r="AA64" s="1050"/>
      <c r="AB64" s="1056"/>
    </row>
    <row r="65" ht="15.75" customHeight="1">
      <c r="A65" s="1064">
        <f>IFERROR(__xludf.DUMMYFUNCTION("""COMPUTED_VALUE"""),60.0)</f>
        <v>60</v>
      </c>
      <c r="B65" s="1031" t="s">
        <v>58</v>
      </c>
      <c r="C65" s="768" t="str">
        <f>IFERROR(__xludf.DUMMYFUNCTION("""COMPUTED_VALUE"""),"Rezzy Eko Caraka ,S.Si.,M.Sc(RES).,PhD.")</f>
        <v>Rezzy Eko Caraka ,S.Si.,M.Sc(RES).,PhD.</v>
      </c>
      <c r="D65" s="716"/>
      <c r="E65" s="1034"/>
      <c r="F65" s="1033">
        <f>IFERROR(__xludf.DUMMYFUNCTION("""COMPUTED_VALUE"""),0.0)</f>
        <v>0</v>
      </c>
      <c r="G65" s="1034"/>
      <c r="H65" s="1057"/>
      <c r="I65" s="1036">
        <f>IFERROR(__xludf.DUMMYFUNCTION("""COMPUTED_VALUE"""),0.0)</f>
        <v>0</v>
      </c>
      <c r="J65" s="1074"/>
      <c r="K65" s="1054"/>
      <c r="L65" s="1039">
        <f>IFERROR(__xludf.DUMMYFUNCTION("""COMPUTED_VALUE"""),6.0)</f>
        <v>6</v>
      </c>
      <c r="M65" s="1055"/>
      <c r="N65" s="1041"/>
      <c r="O65" s="1042">
        <f>IFERROR(__xludf.DUMMYFUNCTION("""COMPUTED_VALUE"""),0.0)</f>
        <v>0</v>
      </c>
      <c r="P65" s="1070"/>
      <c r="Q65" s="1071"/>
      <c r="R65" s="1044">
        <f>IFERROR(__xludf.DUMMYFUNCTION("""COMPUTED_VALUE"""),0.0)</f>
        <v>0</v>
      </c>
      <c r="S65" s="1071"/>
      <c r="T65" s="1045"/>
      <c r="U65" s="1045" t="str">
        <f>IFERROR(__xludf.DUMMYFUNCTION("""COMPUTED_VALUE"""),"#VALUE!")</f>
        <v>#VALUE!</v>
      </c>
      <c r="V65" s="1046"/>
      <c r="W65" s="1072"/>
      <c r="X65" s="1048">
        <f>IFERROR(__xludf.DUMMYFUNCTION("""COMPUTED_VALUE"""),291.0)</f>
        <v>291</v>
      </c>
      <c r="Y65" s="1073"/>
      <c r="Z65" s="1047"/>
      <c r="AA65" s="1050"/>
      <c r="AB65" s="1056"/>
    </row>
    <row r="66" ht="15.75" customHeight="1">
      <c r="A66" s="1064">
        <f>IFERROR(__xludf.DUMMYFUNCTION("""COMPUTED_VALUE"""),61.0)</f>
        <v>61</v>
      </c>
      <c r="B66" s="1031" t="s">
        <v>108</v>
      </c>
      <c r="C66" s="768" t="str">
        <f>IFERROR(__xludf.DUMMYFUNCTION("""COMPUTED_VALUE"""),"Dr. Eng. Ir Yuyun, S.Kom., M.T")</f>
        <v>Dr. Eng. Ir Yuyun, S.Kom., M.T</v>
      </c>
      <c r="D66" s="716"/>
      <c r="E66" s="1034"/>
      <c r="F66" s="1033">
        <f>IFERROR(__xludf.DUMMYFUNCTION("""COMPUTED_VALUE"""),0.0)</f>
        <v>0</v>
      </c>
      <c r="G66" s="1034"/>
      <c r="H66" s="1057"/>
      <c r="I66" s="1036">
        <f>IFERROR(__xludf.DUMMYFUNCTION("""COMPUTED_VALUE"""),0.0)</f>
        <v>0</v>
      </c>
      <c r="J66" s="1074"/>
      <c r="K66" s="1054"/>
      <c r="L66" s="1039">
        <f>IFERROR(__xludf.DUMMYFUNCTION("""COMPUTED_VALUE"""),0.0)</f>
        <v>0</v>
      </c>
      <c r="M66" s="1055"/>
      <c r="N66" s="1041"/>
      <c r="O66" s="1042">
        <f>IFERROR(__xludf.DUMMYFUNCTION("""COMPUTED_VALUE"""),0.0)</f>
        <v>0</v>
      </c>
      <c r="P66" s="1070"/>
      <c r="Q66" s="1071"/>
      <c r="R66" s="1044">
        <f>IFERROR(__xludf.DUMMYFUNCTION("""COMPUTED_VALUE"""),0.0)</f>
        <v>0</v>
      </c>
      <c r="S66" s="1071"/>
      <c r="T66" s="1045"/>
      <c r="U66" s="1045" t="str">
        <f>IFERROR(__xludf.DUMMYFUNCTION("""COMPUTED_VALUE"""),"#VALUE!")</f>
        <v>#VALUE!</v>
      </c>
      <c r="V66" s="1046"/>
      <c r="W66" s="1072"/>
      <c r="X66" s="1048">
        <f>IFERROR(__xludf.DUMMYFUNCTION("""COMPUTED_VALUE"""),3.0)</f>
        <v>3</v>
      </c>
      <c r="Y66" s="1073"/>
      <c r="Z66" s="1047"/>
      <c r="AA66" s="1050"/>
      <c r="AB66" s="1056"/>
    </row>
    <row r="67" ht="15.75" customHeight="1">
      <c r="A67" s="1064">
        <f>IFERROR(__xludf.DUMMYFUNCTION("""COMPUTED_VALUE"""),62.0)</f>
        <v>62</v>
      </c>
      <c r="B67" s="1031" t="s">
        <v>34</v>
      </c>
      <c r="C67" s="768" t="str">
        <f>IFERROR(__xludf.DUMMYFUNCTION("""COMPUTED_VALUE"""),"Aria Bisri, S.Kom.")</f>
        <v>Aria Bisri, S.Kom.</v>
      </c>
      <c r="D67" s="716"/>
      <c r="E67" s="1034"/>
      <c r="F67" s="1033">
        <f>IFERROR(__xludf.DUMMYFUNCTION("""COMPUTED_VALUE"""),0.0)</f>
        <v>0</v>
      </c>
      <c r="G67" s="1034"/>
      <c r="H67" s="1057"/>
      <c r="I67" s="1036">
        <f>IFERROR(__xludf.DUMMYFUNCTION("""COMPUTED_VALUE"""),0.0)</f>
        <v>0</v>
      </c>
      <c r="J67" s="1074"/>
      <c r="K67" s="1054"/>
      <c r="L67" s="1039">
        <f>IFERROR(__xludf.DUMMYFUNCTION("""COMPUTED_VALUE"""),0.0)</f>
        <v>0</v>
      </c>
      <c r="M67" s="1055"/>
      <c r="N67" s="1041"/>
      <c r="O67" s="1042">
        <f>IFERROR(__xludf.DUMMYFUNCTION("""COMPUTED_VALUE"""),0.0)</f>
        <v>0</v>
      </c>
      <c r="P67" s="1070"/>
      <c r="Q67" s="1071"/>
      <c r="R67" s="1044">
        <f>IFERROR(__xludf.DUMMYFUNCTION("""COMPUTED_VALUE"""),0.0)</f>
        <v>0</v>
      </c>
      <c r="S67" s="1071"/>
      <c r="T67" s="1045"/>
      <c r="U67" s="1045" t="str">
        <f>IFERROR(__xludf.DUMMYFUNCTION("""COMPUTED_VALUE"""),"#VALUE!")</f>
        <v>#VALUE!</v>
      </c>
      <c r="V67" s="1046"/>
      <c r="W67" s="1072"/>
      <c r="X67" s="1048">
        <f>IFERROR(__xludf.DUMMYFUNCTION("""COMPUTED_VALUE"""),3.0)</f>
        <v>3</v>
      </c>
      <c r="Y67" s="1073"/>
      <c r="Z67" s="1047"/>
      <c r="AA67" s="1050"/>
      <c r="AB67" s="1056"/>
    </row>
    <row r="68" ht="15.75" customHeight="1">
      <c r="A68" s="1064">
        <f>IFERROR(__xludf.DUMMYFUNCTION("""COMPUTED_VALUE"""),63.0)</f>
        <v>63</v>
      </c>
      <c r="B68" s="1031" t="s">
        <v>58</v>
      </c>
      <c r="C68" s="768" t="str">
        <f>IFERROR(__xludf.DUMMYFUNCTION("""COMPUTED_VALUE"""),"Ekawati Marlina, S.T., M.T.")</f>
        <v>Ekawati Marlina, S.T., M.T.</v>
      </c>
      <c r="D68" s="716"/>
      <c r="E68" s="1034"/>
      <c r="F68" s="1033">
        <f>IFERROR(__xludf.DUMMYFUNCTION("""COMPUTED_VALUE"""),0.0)</f>
        <v>0</v>
      </c>
      <c r="G68" s="1034"/>
      <c r="H68" s="1057"/>
      <c r="I68" s="1036">
        <f>IFERROR(__xludf.DUMMYFUNCTION("""COMPUTED_VALUE"""),0.0)</f>
        <v>0</v>
      </c>
      <c r="J68" s="1074"/>
      <c r="K68" s="1054"/>
      <c r="L68" s="1039">
        <f>IFERROR(__xludf.DUMMYFUNCTION("""COMPUTED_VALUE"""),1.0)</f>
        <v>1</v>
      </c>
      <c r="M68" s="1055"/>
      <c r="N68" s="1041"/>
      <c r="O68" s="1042">
        <f>IFERROR(__xludf.DUMMYFUNCTION("""COMPUTED_VALUE"""),0.0)</f>
        <v>0</v>
      </c>
      <c r="P68" s="1070"/>
      <c r="Q68" s="1071"/>
      <c r="R68" s="1044">
        <f>IFERROR(__xludf.DUMMYFUNCTION("""COMPUTED_VALUE"""),0.0)</f>
        <v>0</v>
      </c>
      <c r="S68" s="1071"/>
      <c r="T68" s="1045"/>
      <c r="U68" s="1045" t="str">
        <f>IFERROR(__xludf.DUMMYFUNCTION("""COMPUTED_VALUE"""),"#VALUE!")</f>
        <v>#VALUE!</v>
      </c>
      <c r="V68" s="1046"/>
      <c r="W68" s="1072"/>
      <c r="X68" s="1048">
        <f>IFERROR(__xludf.DUMMYFUNCTION("""COMPUTED_VALUE"""),12.0)</f>
        <v>12</v>
      </c>
      <c r="Y68" s="1073"/>
      <c r="Z68" s="1047"/>
      <c r="AA68" s="1050"/>
      <c r="AB68" s="1056"/>
    </row>
    <row r="69" ht="15.75" customHeight="1">
      <c r="A69" s="1064">
        <f>IFERROR(__xludf.DUMMYFUNCTION("""COMPUTED_VALUE"""),64.0)</f>
        <v>64</v>
      </c>
      <c r="B69" s="1031" t="s">
        <v>108</v>
      </c>
      <c r="C69" s="768" t="str">
        <f>IFERROR(__xludf.DUMMYFUNCTION("""COMPUTED_VALUE"""),"Dr. Rini Wijayanti, S.Kom.,
 M.Kom.")</f>
        <v>Dr. Rini Wijayanti, S.Kom.,
 M.Kom.</v>
      </c>
      <c r="D69" s="716"/>
      <c r="E69" s="1034"/>
      <c r="F69" s="1033">
        <f>IFERROR(__xludf.DUMMYFUNCTION("""COMPUTED_VALUE"""),0.0)</f>
        <v>0</v>
      </c>
      <c r="G69" s="1034"/>
      <c r="H69" s="1057"/>
      <c r="I69" s="1036">
        <f>IFERROR(__xludf.DUMMYFUNCTION("""COMPUTED_VALUE"""),0.0)</f>
        <v>0</v>
      </c>
      <c r="J69" s="1074"/>
      <c r="K69" s="1054"/>
      <c r="L69" s="1039">
        <f>IFERROR(__xludf.DUMMYFUNCTION("""COMPUTED_VALUE"""),0.0)</f>
        <v>0</v>
      </c>
      <c r="M69" s="1055"/>
      <c r="N69" s="1041"/>
      <c r="O69" s="1042">
        <f>IFERROR(__xludf.DUMMYFUNCTION("""COMPUTED_VALUE"""),0.0)</f>
        <v>0</v>
      </c>
      <c r="P69" s="1070"/>
      <c r="Q69" s="1071"/>
      <c r="R69" s="1044">
        <f>IFERROR(__xludf.DUMMYFUNCTION("""COMPUTED_VALUE"""),0.0)</f>
        <v>0</v>
      </c>
      <c r="S69" s="1071"/>
      <c r="T69" s="1045"/>
      <c r="U69" s="1045" t="str">
        <f>IFERROR(__xludf.DUMMYFUNCTION("""COMPUTED_VALUE"""),"#VALUE!")</f>
        <v>#VALUE!</v>
      </c>
      <c r="V69" s="1046"/>
      <c r="W69" s="1072"/>
      <c r="X69" s="1048">
        <f>IFERROR(__xludf.DUMMYFUNCTION("""COMPUTED_VALUE"""),10.0)</f>
        <v>10</v>
      </c>
      <c r="Y69" s="1073"/>
      <c r="Z69" s="1047"/>
      <c r="AA69" s="1050"/>
      <c r="AB69" s="1056"/>
    </row>
    <row r="70" ht="15.75" customHeight="1">
      <c r="A70" s="1064">
        <f>IFERROR(__xludf.DUMMYFUNCTION("""COMPUTED_VALUE"""),65.0)</f>
        <v>65</v>
      </c>
      <c r="B70" s="1031" t="s">
        <v>108</v>
      </c>
      <c r="C70" s="768" t="str">
        <f>IFERROR(__xludf.DUMMYFUNCTION("""COMPUTED_VALUE"""),"Yaniasih, S.TP., M.P.")</f>
        <v>Yaniasih, S.TP., M.P.</v>
      </c>
      <c r="D70" s="716"/>
      <c r="E70" s="1034"/>
      <c r="F70" s="1033">
        <f>IFERROR(__xludf.DUMMYFUNCTION("""COMPUTED_VALUE"""),0.0)</f>
        <v>0</v>
      </c>
      <c r="G70" s="1034"/>
      <c r="H70" s="1057"/>
      <c r="I70" s="1036">
        <f>IFERROR(__xludf.DUMMYFUNCTION("""COMPUTED_VALUE"""),0.0)</f>
        <v>0</v>
      </c>
      <c r="J70" s="1074"/>
      <c r="K70" s="1054"/>
      <c r="L70" s="1039">
        <f>IFERROR(__xludf.DUMMYFUNCTION("""COMPUTED_VALUE"""),1.0)</f>
        <v>1</v>
      </c>
      <c r="M70" s="1055"/>
      <c r="N70" s="1041"/>
      <c r="O70" s="1042">
        <f>IFERROR(__xludf.DUMMYFUNCTION("""COMPUTED_VALUE"""),0.0)</f>
        <v>0</v>
      </c>
      <c r="P70" s="1070"/>
      <c r="Q70" s="1071"/>
      <c r="R70" s="1044">
        <f>IFERROR(__xludf.DUMMYFUNCTION("""COMPUTED_VALUE"""),0.0)</f>
        <v>0</v>
      </c>
      <c r="S70" s="1071"/>
      <c r="T70" s="1045"/>
      <c r="U70" s="1045" t="str">
        <f>IFERROR(__xludf.DUMMYFUNCTION("""COMPUTED_VALUE"""),"#VALUE!")</f>
        <v>#VALUE!</v>
      </c>
      <c r="V70" s="1046"/>
      <c r="W70" s="1072"/>
      <c r="X70" s="1048">
        <f>IFERROR(__xludf.DUMMYFUNCTION("""COMPUTED_VALUE"""),1.0)</f>
        <v>1</v>
      </c>
      <c r="Y70" s="1073"/>
      <c r="Z70" s="1047"/>
      <c r="AA70" s="1050"/>
      <c r="AB70" s="1056"/>
    </row>
    <row r="71" ht="15.75" customHeight="1">
      <c r="A71" s="1030">
        <f>IFERROR(__xludf.DUMMYFUNCTION("""COMPUTED_VALUE"""),66.0)</f>
        <v>66</v>
      </c>
      <c r="B71" s="1031" t="s">
        <v>108</v>
      </c>
      <c r="C71" s="768" t="str">
        <f>IFERROR(__xludf.DUMMYFUNCTION("""COMPUTED_VALUE"""),"Iftitahu Ni'mah, S.Kom., M.I.T.")</f>
        <v>Iftitahu Ni'mah, S.Kom., M.I.T.</v>
      </c>
      <c r="D71" s="716"/>
      <c r="E71" s="1034"/>
      <c r="F71" s="1033">
        <f>IFERROR(__xludf.DUMMYFUNCTION("""COMPUTED_VALUE"""),0.0)</f>
        <v>0</v>
      </c>
      <c r="G71" s="1034"/>
      <c r="H71" s="1057"/>
      <c r="I71" s="1036">
        <f>IFERROR(__xludf.DUMMYFUNCTION("""COMPUTED_VALUE"""),0.0)</f>
        <v>0</v>
      </c>
      <c r="J71" s="1074"/>
      <c r="K71" s="1054"/>
      <c r="L71" s="1039">
        <f>IFERROR(__xludf.DUMMYFUNCTION("""COMPUTED_VALUE"""),0.0)</f>
        <v>0</v>
      </c>
      <c r="M71" s="1055"/>
      <c r="N71" s="1041"/>
      <c r="O71" s="1042">
        <f>IFERROR(__xludf.DUMMYFUNCTION("""COMPUTED_VALUE"""),0.0)</f>
        <v>0</v>
      </c>
      <c r="P71" s="1070"/>
      <c r="Q71" s="1071"/>
      <c r="R71" s="1044">
        <f>IFERROR(__xludf.DUMMYFUNCTION("""COMPUTED_VALUE"""),0.0)</f>
        <v>0</v>
      </c>
      <c r="S71" s="1071"/>
      <c r="T71" s="1045"/>
      <c r="U71" s="1045" t="str">
        <f>IFERROR(__xludf.DUMMYFUNCTION("""COMPUTED_VALUE"""),"#VALUE!")</f>
        <v>#VALUE!</v>
      </c>
      <c r="V71" s="1046"/>
      <c r="W71" s="1072"/>
      <c r="X71" s="1048">
        <f>IFERROR(__xludf.DUMMYFUNCTION("""COMPUTED_VALUE"""),4.0)</f>
        <v>4</v>
      </c>
      <c r="Y71" s="1073"/>
      <c r="Z71" s="1047"/>
      <c r="AA71" s="1050">
        <f>IFERROR(__xludf.DUMMYFUNCTION("""COMPUTED_VALUE"""),0.0)</f>
        <v>0</v>
      </c>
      <c r="AB71" s="1056" t="str">
        <f>IFERROR(__xludf.DUMMYFUNCTION("""COMPUTED_VALUE"""),"#DIV/0!")</f>
        <v>#DIV/0!</v>
      </c>
    </row>
    <row r="72" ht="15.75" customHeight="1">
      <c r="A72" s="1064">
        <f>IFERROR(__xludf.DUMMYFUNCTION("""COMPUTED_VALUE"""),67.0)</f>
        <v>67</v>
      </c>
      <c r="B72" s="1031" t="s">
        <v>58</v>
      </c>
      <c r="C72" s="768" t="str">
        <f>IFERROR(__xludf.DUMMYFUNCTION("""COMPUTED_VALUE"""),"Hengki Muradi, M.Si.")</f>
        <v>Hengki Muradi, M.Si.</v>
      </c>
      <c r="D72" s="716"/>
      <c r="E72" s="1034"/>
      <c r="F72" s="1033">
        <f>IFERROR(__xludf.DUMMYFUNCTION("""COMPUTED_VALUE"""),0.0)</f>
        <v>0</v>
      </c>
      <c r="G72" s="1034"/>
      <c r="H72" s="1057"/>
      <c r="I72" s="1036">
        <f>IFERROR(__xludf.DUMMYFUNCTION("""COMPUTED_VALUE"""),0.0)</f>
        <v>0</v>
      </c>
      <c r="J72" s="1074"/>
      <c r="K72" s="1054"/>
      <c r="L72" s="1039">
        <f>IFERROR(__xludf.DUMMYFUNCTION("""COMPUTED_VALUE"""),1.0)</f>
        <v>1</v>
      </c>
      <c r="M72" s="1055"/>
      <c r="N72" s="1041"/>
      <c r="O72" s="1042">
        <f>IFERROR(__xludf.DUMMYFUNCTION("""COMPUTED_VALUE"""),0.0)</f>
        <v>0</v>
      </c>
      <c r="P72" s="1058"/>
      <c r="Q72" s="1059"/>
      <c r="R72" s="1044">
        <f>IFERROR(__xludf.DUMMYFUNCTION("""COMPUTED_VALUE"""),0.0)</f>
        <v>0</v>
      </c>
      <c r="S72" s="1059"/>
      <c r="T72" s="1045"/>
      <c r="U72" s="1045" t="str">
        <f>IFERROR(__xludf.DUMMYFUNCTION("""COMPUTED_VALUE"""),"#VALUE!")</f>
        <v>#VALUE!</v>
      </c>
      <c r="V72" s="1046"/>
      <c r="W72" s="1060"/>
      <c r="X72" s="1048">
        <f>IFERROR(__xludf.DUMMYFUNCTION("""COMPUTED_VALUE"""),2.0)</f>
        <v>2</v>
      </c>
      <c r="Y72" s="1056"/>
      <c r="Z72" s="1047"/>
      <c r="AA72" s="1050">
        <f>IFERROR(__xludf.DUMMYFUNCTION("""COMPUTED_VALUE"""),0.0)</f>
        <v>0</v>
      </c>
      <c r="AB72" s="1056" t="str">
        <f>IFERROR(__xludf.DUMMYFUNCTION("""COMPUTED_VALUE"""),"#DIV/0!")</f>
        <v>#DIV/0!</v>
      </c>
    </row>
    <row r="73" ht="15.75" customHeight="1">
      <c r="A73" s="1030">
        <f>IFERROR(__xludf.DUMMYFUNCTION("""COMPUTED_VALUE"""),68.0)</f>
        <v>68</v>
      </c>
      <c r="B73" s="1031" t="s">
        <v>46</v>
      </c>
      <c r="C73" s="768" t="str">
        <f>IFERROR(__xludf.DUMMYFUNCTION("""COMPUTED_VALUE"""),"Dr. Deden Sumirat Hidayat,
 M.Kom.")</f>
        <v>Dr. Deden Sumirat Hidayat,
 M.Kom.</v>
      </c>
      <c r="D73" s="716"/>
      <c r="E73" s="1034"/>
      <c r="F73" s="1033">
        <f>IFERROR(__xludf.DUMMYFUNCTION("""COMPUTED_VALUE"""),0.0)</f>
        <v>0</v>
      </c>
      <c r="G73" s="1034"/>
      <c r="H73" s="1057"/>
      <c r="I73" s="1036">
        <f>IFERROR(__xludf.DUMMYFUNCTION("""COMPUTED_VALUE"""),0.0)</f>
        <v>0</v>
      </c>
      <c r="J73" s="1074"/>
      <c r="K73" s="1054"/>
      <c r="L73" s="1039">
        <f>IFERROR(__xludf.DUMMYFUNCTION("""COMPUTED_VALUE"""),5.0)</f>
        <v>5</v>
      </c>
      <c r="M73" s="1040"/>
      <c r="N73" s="1041"/>
      <c r="O73" s="1042">
        <f>IFERROR(__xludf.DUMMYFUNCTION("""COMPUTED_VALUE"""),0.0)</f>
        <v>0</v>
      </c>
      <c r="P73" s="1058"/>
      <c r="Q73" s="1059"/>
      <c r="R73" s="1044">
        <f>IFERROR(__xludf.DUMMYFUNCTION("""COMPUTED_VALUE"""),0.0)</f>
        <v>0</v>
      </c>
      <c r="S73" s="1059"/>
      <c r="T73" s="1045"/>
      <c r="U73" s="1045" t="str">
        <f>IFERROR(__xludf.DUMMYFUNCTION("""COMPUTED_VALUE"""),"#VALUE!")</f>
        <v>#VALUE!</v>
      </c>
      <c r="V73" s="1046"/>
      <c r="W73" s="1060"/>
      <c r="X73" s="1048">
        <f>IFERROR(__xludf.DUMMYFUNCTION("""COMPUTED_VALUE"""),14.0)</f>
        <v>14</v>
      </c>
      <c r="Y73" s="1056"/>
      <c r="Z73" s="1047"/>
      <c r="AA73" s="1050">
        <f>IFERROR(__xludf.DUMMYFUNCTION("""COMPUTED_VALUE"""),0.0)</f>
        <v>0</v>
      </c>
      <c r="AB73" s="1051" t="str">
        <f>IFERROR(__xludf.DUMMYFUNCTION("""COMPUTED_VALUE"""),"#DIV/0!")</f>
        <v>#DIV/0!</v>
      </c>
    </row>
    <row r="74">
      <c r="A74" s="1064">
        <f>IFERROR(__xludf.DUMMYFUNCTION("""COMPUTED_VALUE"""),69.0)</f>
        <v>69</v>
      </c>
      <c r="B74" s="1031" t="s">
        <v>108</v>
      </c>
      <c r="C74" s="768" t="str">
        <f>IFERROR(__xludf.DUMMYFUNCTION("""COMPUTED_VALUE"""),"Prabu Kresna Putra, S.T.,
 M.T.I.")</f>
        <v>Prabu Kresna Putra, S.T.,
 M.T.I.</v>
      </c>
      <c r="D74" s="716"/>
      <c r="E74" s="1034"/>
      <c r="F74" s="1033">
        <f>IFERROR(__xludf.DUMMYFUNCTION("""COMPUTED_VALUE"""),0.0)</f>
        <v>0</v>
      </c>
      <c r="G74" s="1034"/>
      <c r="H74" s="1057"/>
      <c r="I74" s="1036">
        <f>IFERROR(__xludf.DUMMYFUNCTION("""COMPUTED_VALUE"""),0.0)</f>
        <v>0</v>
      </c>
      <c r="J74" s="1037"/>
      <c r="K74" s="1054"/>
      <c r="L74" s="1039">
        <f>IFERROR(__xludf.DUMMYFUNCTION("""COMPUTED_VALUE"""),5.0)</f>
        <v>5</v>
      </c>
      <c r="M74" s="1055"/>
      <c r="N74" s="1041"/>
      <c r="O74" s="1042">
        <f>IFERROR(__xludf.DUMMYFUNCTION("""COMPUTED_VALUE"""),0.0)</f>
        <v>0</v>
      </c>
      <c r="P74" s="1070"/>
      <c r="Q74" s="1071"/>
      <c r="R74" s="1044">
        <f>IFERROR(__xludf.DUMMYFUNCTION("""COMPUTED_VALUE"""),0.0)</f>
        <v>0</v>
      </c>
      <c r="S74" s="1071"/>
      <c r="T74" s="1045"/>
      <c r="U74" s="1045" t="str">
        <f>IFERROR(__xludf.DUMMYFUNCTION("""COMPUTED_VALUE"""),"#VALUE!")</f>
        <v>#VALUE!</v>
      </c>
      <c r="V74" s="1046"/>
      <c r="W74" s="1072"/>
      <c r="X74" s="1048">
        <f>IFERROR(__xludf.DUMMYFUNCTION("""COMPUTED_VALUE"""),17.0)</f>
        <v>17</v>
      </c>
      <c r="Y74" s="1073"/>
      <c r="Z74" s="1047"/>
      <c r="AA74" s="1050">
        <f>IFERROR(__xludf.DUMMYFUNCTION("""COMPUTED_VALUE"""),1.0)</f>
        <v>1</v>
      </c>
      <c r="AB74" s="1056" t="str">
        <f>IFERROR(__xludf.DUMMYFUNCTION("""COMPUTED_VALUE"""),"#DIV/0!")</f>
        <v>#DIV/0!</v>
      </c>
    </row>
    <row r="75" ht="15.75" customHeight="1">
      <c r="A75" s="1030">
        <f>IFERROR(__xludf.DUMMYFUNCTION("""COMPUTED_VALUE"""),70.0)</f>
        <v>70</v>
      </c>
      <c r="B75" s="1031" t="s">
        <v>108</v>
      </c>
      <c r="C75" s="768" t="str">
        <f>IFERROR(__xludf.DUMMYFUNCTION("""COMPUTED_VALUE"""),"Dr. Kokoy Siti Komariah S.Kom., M.T., M.Eng.
")</f>
        <v>Dr. Kokoy Siti Komariah S.Kom., M.T., M.Eng.
</v>
      </c>
      <c r="D75" s="716"/>
      <c r="E75" s="1034"/>
      <c r="F75" s="1033">
        <f>IFERROR(__xludf.DUMMYFUNCTION("""COMPUTED_VALUE"""),0.0)</f>
        <v>0</v>
      </c>
      <c r="G75" s="1034"/>
      <c r="H75" s="1057"/>
      <c r="I75" s="1036">
        <f>IFERROR(__xludf.DUMMYFUNCTION("""COMPUTED_VALUE"""),0.0)</f>
        <v>0</v>
      </c>
      <c r="J75" s="1074"/>
      <c r="K75" s="1054"/>
      <c r="L75" s="1039">
        <f>IFERROR(__xludf.DUMMYFUNCTION("""COMPUTED_VALUE"""),0.0)</f>
        <v>0</v>
      </c>
      <c r="M75" s="1055"/>
      <c r="N75" s="1041"/>
      <c r="O75" s="1042">
        <f>IFERROR(__xludf.DUMMYFUNCTION("""COMPUTED_VALUE"""),0.0)</f>
        <v>0</v>
      </c>
      <c r="P75" s="1058"/>
      <c r="Q75" s="1059"/>
      <c r="R75" s="1044">
        <f>IFERROR(__xludf.DUMMYFUNCTION("""COMPUTED_VALUE"""),0.0)</f>
        <v>0</v>
      </c>
      <c r="S75" s="1059"/>
      <c r="T75" s="1045"/>
      <c r="U75" s="1045" t="str">
        <f>IFERROR(__xludf.DUMMYFUNCTION("""COMPUTED_VALUE"""),"#VALUE!")</f>
        <v>#VALUE!</v>
      </c>
      <c r="V75" s="1046"/>
      <c r="W75" s="1060"/>
      <c r="X75" s="1048">
        <f>IFERROR(__xludf.DUMMYFUNCTION("""COMPUTED_VALUE"""),5.0)</f>
        <v>5</v>
      </c>
      <c r="Y75" s="1056"/>
      <c r="Z75" s="1047"/>
      <c r="AA75" s="1050">
        <f>IFERROR(__xludf.DUMMYFUNCTION("""COMPUTED_VALUE"""),0.0)</f>
        <v>0</v>
      </c>
      <c r="AB75" s="1056" t="str">
        <f>IFERROR(__xludf.DUMMYFUNCTION("""COMPUTED_VALUE"""),"#DIV/0!")</f>
        <v>#DIV/0!</v>
      </c>
    </row>
    <row r="76" ht="15.75" customHeight="1">
      <c r="A76" s="1064">
        <f>IFERROR(__xludf.DUMMYFUNCTION("""COMPUTED_VALUE"""),71.0)</f>
        <v>71</v>
      </c>
      <c r="B76" s="1065" t="s">
        <v>34</v>
      </c>
      <c r="C76" s="768" t="str">
        <f>IFERROR(__xludf.DUMMYFUNCTION("""COMPUTED_VALUE"""),"RIO NURTANTYANA")</f>
        <v>RIO NURTANTYANA</v>
      </c>
      <c r="D76" s="716"/>
      <c r="E76" s="1034"/>
      <c r="F76" s="1033">
        <f>IFERROR(__xludf.DUMMYFUNCTION("""COMPUTED_VALUE"""),0.0)</f>
        <v>0</v>
      </c>
      <c r="G76" s="1034"/>
      <c r="H76" s="1057"/>
      <c r="I76" s="1036">
        <f>IFERROR(__xludf.DUMMYFUNCTION("""COMPUTED_VALUE"""),0.0)</f>
        <v>0</v>
      </c>
      <c r="J76" s="1074"/>
      <c r="K76" s="1054"/>
      <c r="L76" s="1039">
        <f>IFERROR(__xludf.DUMMYFUNCTION("""COMPUTED_VALUE"""),0.0)</f>
        <v>0</v>
      </c>
      <c r="M76" s="1055"/>
      <c r="N76" s="1041"/>
      <c r="O76" s="1042">
        <f>IFERROR(__xludf.DUMMYFUNCTION("""COMPUTED_VALUE"""),0.0)</f>
        <v>0</v>
      </c>
      <c r="P76" s="1058"/>
      <c r="Q76" s="1059"/>
      <c r="R76" s="1044">
        <f>IFERROR(__xludf.DUMMYFUNCTION("""COMPUTED_VALUE"""),0.0)</f>
        <v>0</v>
      </c>
      <c r="S76" s="1059"/>
      <c r="T76" s="1045"/>
      <c r="U76" s="1045" t="str">
        <f>IFERROR(__xludf.DUMMYFUNCTION("""COMPUTED_VALUE"""),"#VALUE!")</f>
        <v>#VALUE!</v>
      </c>
      <c r="V76" s="1046"/>
      <c r="W76" s="1060"/>
      <c r="X76" s="1048">
        <f>IFERROR(__xludf.DUMMYFUNCTION("""COMPUTED_VALUE"""),22.0)</f>
        <v>22</v>
      </c>
      <c r="Y76" s="1056"/>
      <c r="Z76" s="1047"/>
      <c r="AA76" s="1050">
        <f>IFERROR(__xludf.DUMMYFUNCTION("""COMPUTED_VALUE"""),0.0)</f>
        <v>0</v>
      </c>
      <c r="AB76" s="1056" t="str">
        <f>IFERROR(__xludf.DUMMYFUNCTION("""COMPUTED_VALUE"""),"#DIV/0!")</f>
        <v>#DIV/0!</v>
      </c>
    </row>
    <row r="77" ht="15.75" customHeight="1">
      <c r="A77" s="1030">
        <f>IFERROR(__xludf.DUMMYFUNCTION("""COMPUTED_VALUE"""),72.0)</f>
        <v>72</v>
      </c>
      <c r="B77" s="1068" t="s">
        <v>46</v>
      </c>
      <c r="C77" s="768" t="str">
        <f>IFERROR(__xludf.DUMMYFUNCTION("""COMPUTED_VALUE"""),"SATRIO ADI PRIYAMBADA")</f>
        <v>SATRIO ADI PRIYAMBADA</v>
      </c>
      <c r="D77" s="700"/>
      <c r="E77" s="1034"/>
      <c r="F77" s="1033">
        <f>IFERROR(__xludf.DUMMYFUNCTION("""COMPUTED_VALUE"""),0.0)</f>
        <v>0</v>
      </c>
      <c r="G77" s="1034"/>
      <c r="H77" s="1057"/>
      <c r="I77" s="1036">
        <f>IFERROR(__xludf.DUMMYFUNCTION("""COMPUTED_VALUE"""),0.0)</f>
        <v>0</v>
      </c>
      <c r="J77" s="1074"/>
      <c r="K77" s="1054"/>
      <c r="L77" s="1039">
        <f>IFERROR(__xludf.DUMMYFUNCTION("""COMPUTED_VALUE"""),0.0)</f>
        <v>0</v>
      </c>
      <c r="M77" s="1055"/>
      <c r="N77" s="1041"/>
      <c r="O77" s="1042">
        <f>IFERROR(__xludf.DUMMYFUNCTION("""COMPUTED_VALUE"""),0.0)</f>
        <v>0</v>
      </c>
      <c r="P77" s="1058"/>
      <c r="Q77" s="1059"/>
      <c r="R77" s="1044">
        <f>IFERROR(__xludf.DUMMYFUNCTION("""COMPUTED_VALUE"""),0.0)</f>
        <v>0</v>
      </c>
      <c r="S77" s="1059"/>
      <c r="T77" s="1045"/>
      <c r="U77" s="1045" t="str">
        <f>IFERROR(__xludf.DUMMYFUNCTION("""COMPUTED_VALUE"""),"#VALUE!")</f>
        <v>#VALUE!</v>
      </c>
      <c r="V77" s="1046"/>
      <c r="W77" s="1060"/>
      <c r="X77" s="1048">
        <f>IFERROR(__xludf.DUMMYFUNCTION("""COMPUTED_VALUE"""),7.0)</f>
        <v>7</v>
      </c>
      <c r="Y77" s="1056"/>
      <c r="Z77" s="1047"/>
      <c r="AA77" s="1050">
        <f>IFERROR(__xludf.DUMMYFUNCTION("""COMPUTED_VALUE"""),0.0)</f>
        <v>0</v>
      </c>
      <c r="AB77" s="1056" t="str">
        <f>IFERROR(__xludf.DUMMYFUNCTION("""COMPUTED_VALUE"""),"#DIV/0!")</f>
        <v>#DIV/0!</v>
      </c>
    </row>
    <row r="78" ht="15.75" customHeight="1">
      <c r="A78" s="1064">
        <f>IFERROR(__xludf.DUMMYFUNCTION("""COMPUTED_VALUE"""),73.0)</f>
        <v>73</v>
      </c>
      <c r="B78" s="1075"/>
      <c r="C78" s="768"/>
      <c r="D78" s="716"/>
      <c r="E78" s="1076"/>
      <c r="F78" s="1033">
        <f>IFERROR(__xludf.DUMMYFUNCTION("""COMPUTED_VALUE"""),0.0)</f>
        <v>0</v>
      </c>
      <c r="G78" s="1076"/>
      <c r="H78" s="1077"/>
      <c r="I78" s="1036">
        <f>IFERROR(__xludf.DUMMYFUNCTION("""COMPUTED_VALUE"""),14.0)</f>
        <v>14</v>
      </c>
      <c r="J78" s="1078"/>
      <c r="K78" s="1054"/>
      <c r="L78" s="1039">
        <f>IFERROR(__xludf.DUMMYFUNCTION("""COMPUTED_VALUE"""),223.0)</f>
        <v>223</v>
      </c>
      <c r="M78" s="1055"/>
      <c r="N78" s="1079"/>
      <c r="O78" s="1042">
        <f>IFERROR(__xludf.DUMMYFUNCTION("""COMPUTED_VALUE"""),0.0)</f>
        <v>0</v>
      </c>
      <c r="P78" s="1080"/>
      <c r="Q78" s="1081"/>
      <c r="R78" s="1044">
        <f>IFERROR(__xludf.DUMMYFUNCTION("""COMPUTED_VALUE"""),2.0)</f>
        <v>2</v>
      </c>
      <c r="S78" s="1081"/>
      <c r="T78" s="1045"/>
      <c r="U78" s="1045" t="str">
        <f>IFERROR(__xludf.DUMMYFUNCTION("""COMPUTED_VALUE"""),"#VALUE!")</f>
        <v>#VALUE!</v>
      </c>
      <c r="V78" s="1046"/>
      <c r="W78" s="1082"/>
      <c r="X78" s="1048" t="str">
        <f>IFERROR(__xludf.DUMMYFUNCTION("""COMPUTED_VALUE"""),"#N/A")</f>
        <v>#N/A</v>
      </c>
      <c r="Y78" s="1083"/>
      <c r="Z78" s="1047"/>
      <c r="AA78" s="1050">
        <f>IFERROR(__xludf.DUMMYFUNCTION("""COMPUTED_VALUE"""),8.0)</f>
        <v>8</v>
      </c>
      <c r="AB78" s="1056" t="str">
        <f>IFERROR(__xludf.DUMMYFUNCTION("""COMPUTED_VALUE"""),"#DIV/0!")</f>
        <v>#DIV/0!</v>
      </c>
    </row>
    <row r="79" ht="15.75" customHeight="1">
      <c r="A79" s="1030">
        <f>IFERROR(__xludf.DUMMYFUNCTION("""COMPUTED_VALUE"""),74.0)</f>
        <v>74</v>
      </c>
      <c r="B79" s="1030"/>
      <c r="C79" s="768"/>
      <c r="D79" s="716"/>
      <c r="E79" s="1034"/>
      <c r="F79" s="1033">
        <f>IFERROR(__xludf.DUMMYFUNCTION("""COMPUTED_VALUE"""),0.0)</f>
        <v>0</v>
      </c>
      <c r="G79" s="1034"/>
      <c r="H79" s="1057"/>
      <c r="I79" s="1036">
        <f>IFERROR(__xludf.DUMMYFUNCTION("""COMPUTED_VALUE"""),14.0)</f>
        <v>14</v>
      </c>
      <c r="J79" s="1037"/>
      <c r="K79" s="1054"/>
      <c r="L79" s="1039">
        <f>IFERROR(__xludf.DUMMYFUNCTION("""COMPUTED_VALUE"""),223.0)</f>
        <v>223</v>
      </c>
      <c r="M79" s="1040"/>
      <c r="N79" s="1079"/>
      <c r="O79" s="1042">
        <f>IFERROR(__xludf.DUMMYFUNCTION("""COMPUTED_VALUE"""),0.0)</f>
        <v>0</v>
      </c>
      <c r="P79" s="1084"/>
      <c r="Q79" s="1085"/>
      <c r="R79" s="1044">
        <f>IFERROR(__xludf.DUMMYFUNCTION("""COMPUTED_VALUE"""),2.0)</f>
        <v>2</v>
      </c>
      <c r="S79" s="1085"/>
      <c r="T79" s="1045"/>
      <c r="U79" s="1045" t="str">
        <f>IFERROR(__xludf.DUMMYFUNCTION("""COMPUTED_VALUE"""),"#VALUE!")</f>
        <v>#VALUE!</v>
      </c>
      <c r="V79" s="1046"/>
      <c r="W79" s="1086"/>
      <c r="X79" s="1048" t="str">
        <f>IFERROR(__xludf.DUMMYFUNCTION("""COMPUTED_VALUE"""),"#N/A")</f>
        <v>#N/A</v>
      </c>
      <c r="Y79" s="1087"/>
      <c r="Z79" s="1047"/>
      <c r="AA79" s="1050">
        <f>IFERROR(__xludf.DUMMYFUNCTION("""COMPUTED_VALUE"""),8.0)</f>
        <v>8</v>
      </c>
      <c r="AB79" s="1051" t="str">
        <f>IFERROR(__xludf.DUMMYFUNCTION("""COMPUTED_VALUE"""),"#DIV/0!")</f>
        <v>#DIV/0!</v>
      </c>
    </row>
    <row r="80" ht="15.75" customHeight="1">
      <c r="A80" s="1064">
        <f>IFERROR(__xludf.DUMMYFUNCTION("""COMPUTED_VALUE"""),75.0)</f>
        <v>75</v>
      </c>
      <c r="B80" s="1030"/>
      <c r="C80" s="768"/>
      <c r="D80" s="700"/>
      <c r="E80" s="1076"/>
      <c r="F80" s="1033">
        <f>IFERROR(__xludf.DUMMYFUNCTION("""COMPUTED_VALUE"""),0.0)</f>
        <v>0</v>
      </c>
      <c r="G80" s="1076"/>
      <c r="H80" s="1077"/>
      <c r="I80" s="1036">
        <f>IFERROR(__xludf.DUMMYFUNCTION("""COMPUTED_VALUE"""),14.0)</f>
        <v>14</v>
      </c>
      <c r="J80" s="1088"/>
      <c r="K80" s="1054"/>
      <c r="L80" s="1039">
        <f>IFERROR(__xludf.DUMMYFUNCTION("""COMPUTED_VALUE"""),223.0)</f>
        <v>223</v>
      </c>
      <c r="M80" s="1055"/>
      <c r="N80" s="1079"/>
      <c r="O80" s="1042">
        <f>IFERROR(__xludf.DUMMYFUNCTION("""COMPUTED_VALUE"""),0.0)</f>
        <v>0</v>
      </c>
      <c r="P80" s="1084"/>
      <c r="Q80" s="1085"/>
      <c r="R80" s="1044">
        <f>IFERROR(__xludf.DUMMYFUNCTION("""COMPUTED_VALUE"""),2.0)</f>
        <v>2</v>
      </c>
      <c r="S80" s="1085"/>
      <c r="T80" s="1045"/>
      <c r="U80" s="1045" t="str">
        <f>IFERROR(__xludf.DUMMYFUNCTION("""COMPUTED_VALUE"""),"#VALUE!")</f>
        <v>#VALUE!</v>
      </c>
      <c r="V80" s="1046"/>
      <c r="W80" s="1086"/>
      <c r="X80" s="1048" t="str">
        <f>IFERROR(__xludf.DUMMYFUNCTION("""COMPUTED_VALUE"""),"#N/A")</f>
        <v>#N/A</v>
      </c>
      <c r="Y80" s="1087"/>
      <c r="Z80" s="1047"/>
      <c r="AA80" s="1050">
        <f>IFERROR(__xludf.DUMMYFUNCTION("""COMPUTED_VALUE"""),8.0)</f>
        <v>8</v>
      </c>
      <c r="AB80" s="1056" t="str">
        <f>IFERROR(__xludf.DUMMYFUNCTION("""COMPUTED_VALUE"""),"#DIV/0!")</f>
        <v>#DIV/0!</v>
      </c>
    </row>
    <row r="81" ht="15.75" customHeight="1">
      <c r="A81" s="1030">
        <f>IFERROR(__xludf.DUMMYFUNCTION("""COMPUTED_VALUE"""),76.0)</f>
        <v>76</v>
      </c>
      <c r="B81" s="1030"/>
      <c r="C81" s="768"/>
      <c r="D81" s="716"/>
      <c r="E81" s="1034"/>
      <c r="F81" s="1033">
        <f>IFERROR(__xludf.DUMMYFUNCTION("""COMPUTED_VALUE"""),0.0)</f>
        <v>0</v>
      </c>
      <c r="G81" s="1034"/>
      <c r="H81" s="1057"/>
      <c r="I81" s="1036">
        <f>IFERROR(__xludf.DUMMYFUNCTION("""COMPUTED_VALUE"""),14.0)</f>
        <v>14</v>
      </c>
      <c r="J81" s="1037"/>
      <c r="K81" s="1054"/>
      <c r="L81" s="1039">
        <f>IFERROR(__xludf.DUMMYFUNCTION("""COMPUTED_VALUE"""),223.0)</f>
        <v>223</v>
      </c>
      <c r="M81" s="1040"/>
      <c r="N81" s="1079"/>
      <c r="O81" s="1042">
        <f>IFERROR(__xludf.DUMMYFUNCTION("""COMPUTED_VALUE"""),0.0)</f>
        <v>0</v>
      </c>
      <c r="P81" s="1084"/>
      <c r="Q81" s="1085"/>
      <c r="R81" s="1044">
        <f>IFERROR(__xludf.DUMMYFUNCTION("""COMPUTED_VALUE"""),2.0)</f>
        <v>2</v>
      </c>
      <c r="S81" s="1085"/>
      <c r="T81" s="1045"/>
      <c r="U81" s="1045" t="str">
        <f>IFERROR(__xludf.DUMMYFUNCTION("""COMPUTED_VALUE"""),"#VALUE!")</f>
        <v>#VALUE!</v>
      </c>
      <c r="V81" s="1046"/>
      <c r="W81" s="1086"/>
      <c r="X81" s="1048" t="str">
        <f>IFERROR(__xludf.DUMMYFUNCTION("""COMPUTED_VALUE"""),"#N/A")</f>
        <v>#N/A</v>
      </c>
      <c r="Y81" s="1087"/>
      <c r="Z81" s="1047"/>
      <c r="AA81" s="1050">
        <f>IFERROR(__xludf.DUMMYFUNCTION("""COMPUTED_VALUE"""),8.0)</f>
        <v>8</v>
      </c>
      <c r="AB81" s="1051" t="str">
        <f>IFERROR(__xludf.DUMMYFUNCTION("""COMPUTED_VALUE"""),"#DIV/0!")</f>
        <v>#DIV/0!</v>
      </c>
    </row>
    <row r="82" ht="15.75" customHeight="1">
      <c r="A82" s="1064">
        <f>IFERROR(__xludf.DUMMYFUNCTION("""COMPUTED_VALUE"""),77.0)</f>
        <v>77</v>
      </c>
      <c r="B82" s="1030"/>
      <c r="C82" s="768"/>
      <c r="D82" s="700"/>
      <c r="E82" s="1076"/>
      <c r="F82" s="1033">
        <f>IFERROR(__xludf.DUMMYFUNCTION("""COMPUTED_VALUE"""),0.0)</f>
        <v>0</v>
      </c>
      <c r="G82" s="1076"/>
      <c r="H82" s="1077"/>
      <c r="I82" s="1036">
        <f>IFERROR(__xludf.DUMMYFUNCTION("""COMPUTED_VALUE"""),14.0)</f>
        <v>14</v>
      </c>
      <c r="J82" s="1089"/>
      <c r="K82" s="1054"/>
      <c r="L82" s="1039">
        <f>IFERROR(__xludf.DUMMYFUNCTION("""COMPUTED_VALUE"""),223.0)</f>
        <v>223</v>
      </c>
      <c r="M82" s="1040"/>
      <c r="N82" s="1041"/>
      <c r="O82" s="1042">
        <f>IFERROR(__xludf.DUMMYFUNCTION("""COMPUTED_VALUE"""),0.0)</f>
        <v>0</v>
      </c>
      <c r="P82" s="1058"/>
      <c r="Q82" s="1059"/>
      <c r="R82" s="1044">
        <f>IFERROR(__xludf.DUMMYFUNCTION("""COMPUTED_VALUE"""),2.0)</f>
        <v>2</v>
      </c>
      <c r="S82" s="1059"/>
      <c r="T82" s="1045"/>
      <c r="U82" s="1045" t="str">
        <f>IFERROR(__xludf.DUMMYFUNCTION("""COMPUTED_VALUE"""),"#VALUE!")</f>
        <v>#VALUE!</v>
      </c>
      <c r="V82" s="1090"/>
      <c r="W82" s="1060"/>
      <c r="X82" s="1048" t="str">
        <f>IFERROR(__xludf.DUMMYFUNCTION("""COMPUTED_VALUE"""),"#N/A")</f>
        <v>#N/A</v>
      </c>
      <c r="Y82" s="1091"/>
      <c r="Z82" s="1047"/>
      <c r="AA82" s="1050">
        <f>IFERROR(__xludf.DUMMYFUNCTION("""COMPUTED_VALUE"""),8.0)</f>
        <v>8</v>
      </c>
      <c r="AB82" s="1051" t="str">
        <f>IFERROR(__xludf.DUMMYFUNCTION("""COMPUTED_VALUE"""),"#DIV/0!")</f>
        <v>#DIV/0!</v>
      </c>
    </row>
    <row r="83" ht="15.75" customHeight="1">
      <c r="A83" s="1030">
        <f>IFERROR(__xludf.DUMMYFUNCTION("""COMPUTED_VALUE"""),78.0)</f>
        <v>78</v>
      </c>
      <c r="B83" s="1030"/>
      <c r="C83" s="768"/>
      <c r="D83" s="700"/>
      <c r="E83" s="1076"/>
      <c r="F83" s="1033">
        <f>IFERROR(__xludf.DUMMYFUNCTION("""COMPUTED_VALUE"""),0.0)</f>
        <v>0</v>
      </c>
      <c r="G83" s="1076"/>
      <c r="H83" s="1077"/>
      <c r="I83" s="1036">
        <f>IFERROR(__xludf.DUMMYFUNCTION("""COMPUTED_VALUE"""),14.0)</f>
        <v>14</v>
      </c>
      <c r="J83" s="1089"/>
      <c r="K83" s="1054"/>
      <c r="L83" s="1039">
        <f>IFERROR(__xludf.DUMMYFUNCTION("""COMPUTED_VALUE"""),223.0)</f>
        <v>223</v>
      </c>
      <c r="M83" s="1055"/>
      <c r="N83" s="1041"/>
      <c r="O83" s="1042">
        <f>IFERROR(__xludf.DUMMYFUNCTION("""COMPUTED_VALUE"""),0.0)</f>
        <v>0</v>
      </c>
      <c r="P83" s="1058"/>
      <c r="Q83" s="1059"/>
      <c r="R83" s="1044">
        <f>IFERROR(__xludf.DUMMYFUNCTION("""COMPUTED_VALUE"""),2.0)</f>
        <v>2</v>
      </c>
      <c r="S83" s="1059"/>
      <c r="T83" s="1045"/>
      <c r="U83" s="1045" t="str">
        <f>IFERROR(__xludf.DUMMYFUNCTION("""COMPUTED_VALUE"""),"#VALUE!")</f>
        <v>#VALUE!</v>
      </c>
      <c r="V83" s="1090"/>
      <c r="W83" s="1060"/>
      <c r="X83" s="1048" t="str">
        <f>IFERROR(__xludf.DUMMYFUNCTION("""COMPUTED_VALUE"""),"#N/A")</f>
        <v>#N/A</v>
      </c>
      <c r="Y83" s="1091"/>
      <c r="Z83" s="1047"/>
      <c r="AA83" s="1050">
        <f>IFERROR(__xludf.DUMMYFUNCTION("""COMPUTED_VALUE"""),8.0)</f>
        <v>8</v>
      </c>
      <c r="AB83" s="1056" t="str">
        <f>IFERROR(__xludf.DUMMYFUNCTION("""COMPUTED_VALUE"""),"#DIV/0!")</f>
        <v>#DIV/0!</v>
      </c>
    </row>
    <row r="84" ht="15.75" customHeight="1">
      <c r="A84" s="1064">
        <f>IFERROR(__xludf.DUMMYFUNCTION("""COMPUTED_VALUE"""),79.0)</f>
        <v>79</v>
      </c>
      <c r="B84" s="1030"/>
      <c r="C84" s="768"/>
      <c r="D84" s="716"/>
      <c r="E84" s="1076"/>
      <c r="F84" s="1033">
        <f>IFERROR(__xludf.DUMMYFUNCTION("""COMPUTED_VALUE"""),0.0)</f>
        <v>0</v>
      </c>
      <c r="G84" s="1076"/>
      <c r="H84" s="1077"/>
      <c r="I84" s="1036">
        <f>IFERROR(__xludf.DUMMYFUNCTION("""COMPUTED_VALUE"""),14.0)</f>
        <v>14</v>
      </c>
      <c r="J84" s="1089"/>
      <c r="K84" s="1054"/>
      <c r="L84" s="1039">
        <f>IFERROR(__xludf.DUMMYFUNCTION("""COMPUTED_VALUE"""),223.0)</f>
        <v>223</v>
      </c>
      <c r="M84" s="1055"/>
      <c r="N84" s="1041"/>
      <c r="O84" s="1042">
        <f>IFERROR(__xludf.DUMMYFUNCTION("""COMPUTED_VALUE"""),0.0)</f>
        <v>0</v>
      </c>
      <c r="P84" s="1058"/>
      <c r="Q84" s="1059"/>
      <c r="R84" s="1044">
        <f>IFERROR(__xludf.DUMMYFUNCTION("""COMPUTED_VALUE"""),2.0)</f>
        <v>2</v>
      </c>
      <c r="S84" s="1059"/>
      <c r="T84" s="1045"/>
      <c r="U84" s="1045" t="str">
        <f>IFERROR(__xludf.DUMMYFUNCTION("""COMPUTED_VALUE"""),"#VALUE!")</f>
        <v>#VALUE!</v>
      </c>
      <c r="V84" s="1090"/>
      <c r="W84" s="1060"/>
      <c r="X84" s="1048" t="str">
        <f>IFERROR(__xludf.DUMMYFUNCTION("""COMPUTED_VALUE"""),"#N/A")</f>
        <v>#N/A</v>
      </c>
      <c r="Y84" s="1091"/>
      <c r="Z84" s="1047"/>
      <c r="AA84" s="1050">
        <f>IFERROR(__xludf.DUMMYFUNCTION("""COMPUTED_VALUE"""),8.0)</f>
        <v>8</v>
      </c>
      <c r="AB84" s="1056" t="str">
        <f>IFERROR(__xludf.DUMMYFUNCTION("""COMPUTED_VALUE"""),"#DIV/0!")</f>
        <v>#DIV/0!</v>
      </c>
    </row>
    <row r="85" ht="15.75" customHeight="1">
      <c r="A85" s="1030">
        <f>IFERROR(__xludf.DUMMYFUNCTION("""COMPUTED_VALUE"""),80.0)</f>
        <v>80</v>
      </c>
      <c r="B85" s="1030"/>
      <c r="C85" s="768"/>
      <c r="D85" s="716"/>
      <c r="E85" s="1076"/>
      <c r="F85" s="1033">
        <f>IFERROR(__xludf.DUMMYFUNCTION("""COMPUTED_VALUE"""),0.0)</f>
        <v>0</v>
      </c>
      <c r="G85" s="1076"/>
      <c r="H85" s="1077"/>
      <c r="I85" s="1036">
        <f>IFERROR(__xludf.DUMMYFUNCTION("""COMPUTED_VALUE"""),14.0)</f>
        <v>14</v>
      </c>
      <c r="J85" s="1089"/>
      <c r="K85" s="1054"/>
      <c r="L85" s="1039">
        <f>IFERROR(__xludf.DUMMYFUNCTION("""COMPUTED_VALUE"""),223.0)</f>
        <v>223</v>
      </c>
      <c r="M85" s="1040"/>
      <c r="N85" s="1041"/>
      <c r="O85" s="1042">
        <f>IFERROR(__xludf.DUMMYFUNCTION("""COMPUTED_VALUE"""),0.0)</f>
        <v>0</v>
      </c>
      <c r="P85" s="1058"/>
      <c r="Q85" s="1059"/>
      <c r="R85" s="1044">
        <f>IFERROR(__xludf.DUMMYFUNCTION("""COMPUTED_VALUE"""),2.0)</f>
        <v>2</v>
      </c>
      <c r="S85" s="1059"/>
      <c r="T85" s="1045"/>
      <c r="U85" s="1045" t="str">
        <f>IFERROR(__xludf.DUMMYFUNCTION("""COMPUTED_VALUE"""),"#VALUE!")</f>
        <v>#VALUE!</v>
      </c>
      <c r="V85" s="1090"/>
      <c r="W85" s="1060"/>
      <c r="X85" s="1048" t="str">
        <f>IFERROR(__xludf.DUMMYFUNCTION("""COMPUTED_VALUE"""),"#N/A")</f>
        <v>#N/A</v>
      </c>
      <c r="Y85" s="1091"/>
      <c r="Z85" s="1047"/>
      <c r="AA85" s="1050">
        <f>IFERROR(__xludf.DUMMYFUNCTION("""COMPUTED_VALUE"""),8.0)</f>
        <v>8</v>
      </c>
      <c r="AB85" s="1051" t="str">
        <f>IFERROR(__xludf.DUMMYFUNCTION("""COMPUTED_VALUE"""),"#DIV/0!")</f>
        <v>#DIV/0!</v>
      </c>
    </row>
    <row r="86" ht="15.75" customHeight="1">
      <c r="A86" s="1064">
        <f>IFERROR(__xludf.DUMMYFUNCTION("""COMPUTED_VALUE"""),81.0)</f>
        <v>81</v>
      </c>
      <c r="B86" s="1030"/>
      <c r="C86" s="768"/>
      <c r="D86" s="716"/>
      <c r="E86" s="1076"/>
      <c r="F86" s="1033">
        <f>IFERROR(__xludf.DUMMYFUNCTION("""COMPUTED_VALUE"""),0.0)</f>
        <v>0</v>
      </c>
      <c r="G86" s="1076"/>
      <c r="H86" s="1077"/>
      <c r="I86" s="1036">
        <f>IFERROR(__xludf.DUMMYFUNCTION("""COMPUTED_VALUE"""),14.0)</f>
        <v>14</v>
      </c>
      <c r="J86" s="1089"/>
      <c r="K86" s="1054"/>
      <c r="L86" s="1039">
        <f>IFERROR(__xludf.DUMMYFUNCTION("""COMPUTED_VALUE"""),223.0)</f>
        <v>223</v>
      </c>
      <c r="M86" s="1055"/>
      <c r="N86" s="1079"/>
      <c r="O86" s="1042">
        <f>IFERROR(__xludf.DUMMYFUNCTION("""COMPUTED_VALUE"""),0.0)</f>
        <v>0</v>
      </c>
      <c r="P86" s="1084"/>
      <c r="Q86" s="1085"/>
      <c r="R86" s="1044">
        <f>IFERROR(__xludf.DUMMYFUNCTION("""COMPUTED_VALUE"""),2.0)</f>
        <v>2</v>
      </c>
      <c r="S86" s="1085"/>
      <c r="T86" s="1045"/>
      <c r="U86" s="1045" t="str">
        <f>IFERROR(__xludf.DUMMYFUNCTION("""COMPUTED_VALUE"""),"#VALUE!")</f>
        <v>#VALUE!</v>
      </c>
      <c r="V86" s="1046"/>
      <c r="W86" s="1086"/>
      <c r="X86" s="1048" t="str">
        <f>IFERROR(__xludf.DUMMYFUNCTION("""COMPUTED_VALUE"""),"#N/A")</f>
        <v>#N/A</v>
      </c>
      <c r="Y86" s="1087"/>
      <c r="Z86" s="1047"/>
      <c r="AA86" s="1050">
        <f>IFERROR(__xludf.DUMMYFUNCTION("""COMPUTED_VALUE"""),8.0)</f>
        <v>8</v>
      </c>
      <c r="AB86" s="1056" t="str">
        <f>IFERROR(__xludf.DUMMYFUNCTION("""COMPUTED_VALUE"""),"#DIV/0!")</f>
        <v>#DIV/0!</v>
      </c>
    </row>
    <row r="87" ht="15.75" customHeight="1">
      <c r="A87" s="1030">
        <f>IFERROR(__xludf.DUMMYFUNCTION("""COMPUTED_VALUE"""),82.0)</f>
        <v>82</v>
      </c>
      <c r="B87" s="1064"/>
      <c r="C87" s="768"/>
      <c r="D87" s="716"/>
      <c r="E87" s="1076"/>
      <c r="F87" s="1033">
        <f>IFERROR(__xludf.DUMMYFUNCTION("""COMPUTED_VALUE"""),0.0)</f>
        <v>0</v>
      </c>
      <c r="G87" s="1076"/>
      <c r="H87" s="1077"/>
      <c r="I87" s="1036">
        <f>IFERROR(__xludf.DUMMYFUNCTION("""COMPUTED_VALUE"""),14.0)</f>
        <v>14</v>
      </c>
      <c r="J87" s="1089"/>
      <c r="K87" s="1054"/>
      <c r="L87" s="1039">
        <f>IFERROR(__xludf.DUMMYFUNCTION("""COMPUTED_VALUE"""),223.0)</f>
        <v>223</v>
      </c>
      <c r="M87" s="1040"/>
      <c r="N87" s="1079"/>
      <c r="O87" s="1042">
        <f>IFERROR(__xludf.DUMMYFUNCTION("""COMPUTED_VALUE"""),0.0)</f>
        <v>0</v>
      </c>
      <c r="P87" s="1084"/>
      <c r="Q87" s="1085"/>
      <c r="R87" s="1044">
        <f>IFERROR(__xludf.DUMMYFUNCTION("""COMPUTED_VALUE"""),2.0)</f>
        <v>2</v>
      </c>
      <c r="S87" s="1085"/>
      <c r="T87" s="1045"/>
      <c r="U87" s="1045" t="str">
        <f>IFERROR(__xludf.DUMMYFUNCTION("""COMPUTED_VALUE"""),"#VALUE!")</f>
        <v>#VALUE!</v>
      </c>
      <c r="V87" s="1046"/>
      <c r="W87" s="1086"/>
      <c r="X87" s="1048" t="str">
        <f>IFERROR(__xludf.DUMMYFUNCTION("""COMPUTED_VALUE"""),"#N/A")</f>
        <v>#N/A</v>
      </c>
      <c r="Y87" s="1087"/>
      <c r="Z87" s="1047"/>
      <c r="AA87" s="1050">
        <f>IFERROR(__xludf.DUMMYFUNCTION("""COMPUTED_VALUE"""),8.0)</f>
        <v>8</v>
      </c>
      <c r="AB87" s="1051" t="str">
        <f>IFERROR(__xludf.DUMMYFUNCTION("""COMPUTED_VALUE"""),"#DIV/0!")</f>
        <v>#DIV/0!</v>
      </c>
    </row>
    <row r="88" ht="15.75" customHeight="1">
      <c r="A88" s="1064">
        <f>IFERROR(__xludf.DUMMYFUNCTION("""COMPUTED_VALUE"""),83.0)</f>
        <v>83</v>
      </c>
      <c r="B88" s="1092"/>
      <c r="C88" s="768"/>
      <c r="D88" s="700"/>
      <c r="E88" s="1076"/>
      <c r="F88" s="1033">
        <f>IFERROR(__xludf.DUMMYFUNCTION("""COMPUTED_VALUE"""),0.0)</f>
        <v>0</v>
      </c>
      <c r="G88" s="1076"/>
      <c r="H88" s="1077"/>
      <c r="I88" s="1036">
        <f>IFERROR(__xludf.DUMMYFUNCTION("""COMPUTED_VALUE"""),14.0)</f>
        <v>14</v>
      </c>
      <c r="J88" s="1089"/>
      <c r="K88" s="1054"/>
      <c r="L88" s="1039">
        <f>IFERROR(__xludf.DUMMYFUNCTION("""COMPUTED_VALUE"""),223.0)</f>
        <v>223</v>
      </c>
      <c r="M88" s="1040"/>
      <c r="N88" s="1079"/>
      <c r="O88" s="1042">
        <f>IFERROR(__xludf.DUMMYFUNCTION("""COMPUTED_VALUE"""),0.0)</f>
        <v>0</v>
      </c>
      <c r="P88" s="1084"/>
      <c r="Q88" s="1085"/>
      <c r="R88" s="1044">
        <f>IFERROR(__xludf.DUMMYFUNCTION("""COMPUTED_VALUE"""),2.0)</f>
        <v>2</v>
      </c>
      <c r="S88" s="1085"/>
      <c r="T88" s="1045"/>
      <c r="U88" s="1045" t="str">
        <f>IFERROR(__xludf.DUMMYFUNCTION("""COMPUTED_VALUE"""),"#VALUE!")</f>
        <v>#VALUE!</v>
      </c>
      <c r="V88" s="1046"/>
      <c r="W88" s="1086"/>
      <c r="X88" s="1048" t="str">
        <f>IFERROR(__xludf.DUMMYFUNCTION("""COMPUTED_VALUE"""),"#N/A")</f>
        <v>#N/A</v>
      </c>
      <c r="Y88" s="1087"/>
      <c r="Z88" s="1047"/>
      <c r="AA88" s="1050">
        <f>IFERROR(__xludf.DUMMYFUNCTION("""COMPUTED_VALUE"""),8.0)</f>
        <v>8</v>
      </c>
      <c r="AB88" s="1051" t="str">
        <f>IFERROR(__xludf.DUMMYFUNCTION("""COMPUTED_VALUE"""),"#DIV/0!")</f>
        <v>#DIV/0!</v>
      </c>
    </row>
    <row r="89" ht="15.75" customHeight="1">
      <c r="A89" s="1030">
        <f>IFERROR(__xludf.DUMMYFUNCTION("""COMPUTED_VALUE"""),84.0)</f>
        <v>84</v>
      </c>
      <c r="B89" s="1075"/>
      <c r="C89" s="768"/>
      <c r="D89" s="700"/>
      <c r="E89" s="1076"/>
      <c r="F89" s="1033">
        <f>IFERROR(__xludf.DUMMYFUNCTION("""COMPUTED_VALUE"""),0.0)</f>
        <v>0</v>
      </c>
      <c r="G89" s="1076"/>
      <c r="H89" s="1077"/>
      <c r="I89" s="1036">
        <f>IFERROR(__xludf.DUMMYFUNCTION("""COMPUTED_VALUE"""),14.0)</f>
        <v>14</v>
      </c>
      <c r="J89" s="1089"/>
      <c r="K89" s="1054"/>
      <c r="L89" s="1039">
        <f>IFERROR(__xludf.DUMMYFUNCTION("""COMPUTED_VALUE"""),223.0)</f>
        <v>223</v>
      </c>
      <c r="M89" s="1055"/>
      <c r="N89" s="1079"/>
      <c r="O89" s="1042">
        <f>IFERROR(__xludf.DUMMYFUNCTION("""COMPUTED_VALUE"""),0.0)</f>
        <v>0</v>
      </c>
      <c r="P89" s="1084"/>
      <c r="Q89" s="1085"/>
      <c r="R89" s="1044">
        <f>IFERROR(__xludf.DUMMYFUNCTION("""COMPUTED_VALUE"""),2.0)</f>
        <v>2</v>
      </c>
      <c r="S89" s="1085"/>
      <c r="T89" s="1045"/>
      <c r="U89" s="1045" t="str">
        <f>IFERROR(__xludf.DUMMYFUNCTION("""COMPUTED_VALUE"""),"#VALUE!")</f>
        <v>#VALUE!</v>
      </c>
      <c r="V89" s="1046"/>
      <c r="W89" s="1086"/>
      <c r="X89" s="1048" t="str">
        <f>IFERROR(__xludf.DUMMYFUNCTION("""COMPUTED_VALUE"""),"#N/A")</f>
        <v>#N/A</v>
      </c>
      <c r="Y89" s="1093"/>
      <c r="Z89" s="1047"/>
      <c r="AA89" s="1050">
        <f>IFERROR(__xludf.DUMMYFUNCTION("""COMPUTED_VALUE"""),8.0)</f>
        <v>8</v>
      </c>
      <c r="AB89" s="1056" t="str">
        <f>IFERROR(__xludf.DUMMYFUNCTION("""COMPUTED_VALUE"""),"#DIV/0!")</f>
        <v>#DIV/0!</v>
      </c>
    </row>
    <row r="90" ht="15.75" customHeight="1">
      <c r="A90" s="1064">
        <f>IFERROR(__xludf.DUMMYFUNCTION("""COMPUTED_VALUE"""),85.0)</f>
        <v>85</v>
      </c>
      <c r="B90" s="1030"/>
      <c r="C90" s="768"/>
      <c r="D90" s="716"/>
      <c r="E90" s="1076"/>
      <c r="F90" s="1033">
        <f>IFERROR(__xludf.DUMMYFUNCTION("""COMPUTED_VALUE"""),0.0)</f>
        <v>0</v>
      </c>
      <c r="G90" s="1076"/>
      <c r="H90" s="1077"/>
      <c r="I90" s="1036">
        <f>IFERROR(__xludf.DUMMYFUNCTION("""COMPUTED_VALUE"""),14.0)</f>
        <v>14</v>
      </c>
      <c r="J90" s="1089"/>
      <c r="K90" s="1054"/>
      <c r="L90" s="1039">
        <f>IFERROR(__xludf.DUMMYFUNCTION("""COMPUTED_VALUE"""),223.0)</f>
        <v>223</v>
      </c>
      <c r="M90" s="1040"/>
      <c r="N90" s="1041"/>
      <c r="O90" s="1042">
        <f>IFERROR(__xludf.DUMMYFUNCTION("""COMPUTED_VALUE"""),0.0)</f>
        <v>0</v>
      </c>
      <c r="P90" s="1058"/>
      <c r="Q90" s="1059"/>
      <c r="R90" s="1044">
        <f>IFERROR(__xludf.DUMMYFUNCTION("""COMPUTED_VALUE"""),2.0)</f>
        <v>2</v>
      </c>
      <c r="S90" s="1059"/>
      <c r="T90" s="1045"/>
      <c r="U90" s="1045" t="str">
        <f>IFERROR(__xludf.DUMMYFUNCTION("""COMPUTED_VALUE"""),"#VALUE!")</f>
        <v>#VALUE!</v>
      </c>
      <c r="V90" s="1046"/>
      <c r="W90" s="1060"/>
      <c r="X90" s="1048" t="str">
        <f>IFERROR(__xludf.DUMMYFUNCTION("""COMPUTED_VALUE"""),"#N/A")</f>
        <v>#N/A</v>
      </c>
      <c r="Y90" s="1056"/>
      <c r="Z90" s="1047"/>
      <c r="AA90" s="1050">
        <f>IFERROR(__xludf.DUMMYFUNCTION("""COMPUTED_VALUE"""),8.0)</f>
        <v>8</v>
      </c>
      <c r="AB90" s="1051" t="str">
        <f>IFERROR(__xludf.DUMMYFUNCTION("""COMPUTED_VALUE"""),"#DIV/0!")</f>
        <v>#DIV/0!</v>
      </c>
    </row>
    <row r="91" ht="15.75" customHeight="1">
      <c r="A91" s="1030">
        <f>IFERROR(__xludf.DUMMYFUNCTION("""COMPUTED_VALUE"""),86.0)</f>
        <v>86</v>
      </c>
      <c r="B91" s="1030"/>
      <c r="C91" s="768"/>
      <c r="D91" s="716"/>
      <c r="E91" s="1076"/>
      <c r="F91" s="1033">
        <f>IFERROR(__xludf.DUMMYFUNCTION("""COMPUTED_VALUE"""),0.0)</f>
        <v>0</v>
      </c>
      <c r="G91" s="1076"/>
      <c r="H91" s="1077"/>
      <c r="I91" s="1036">
        <f>IFERROR(__xludf.DUMMYFUNCTION("""COMPUTED_VALUE"""),14.0)</f>
        <v>14</v>
      </c>
      <c r="J91" s="1089"/>
      <c r="K91" s="1054"/>
      <c r="L91" s="1039">
        <f>IFERROR(__xludf.DUMMYFUNCTION("""COMPUTED_VALUE"""),223.0)</f>
        <v>223</v>
      </c>
      <c r="M91" s="1055"/>
      <c r="N91" s="1041"/>
      <c r="O91" s="1042">
        <f>IFERROR(__xludf.DUMMYFUNCTION("""COMPUTED_VALUE"""),0.0)</f>
        <v>0</v>
      </c>
      <c r="P91" s="1058"/>
      <c r="Q91" s="1059"/>
      <c r="R91" s="1044">
        <f>IFERROR(__xludf.DUMMYFUNCTION("""COMPUTED_VALUE"""),2.0)</f>
        <v>2</v>
      </c>
      <c r="S91" s="1059"/>
      <c r="T91" s="1045"/>
      <c r="U91" s="1045" t="str">
        <f>IFERROR(__xludf.DUMMYFUNCTION("""COMPUTED_VALUE"""),"#VALUE!")</f>
        <v>#VALUE!</v>
      </c>
      <c r="V91" s="1090"/>
      <c r="W91" s="1060"/>
      <c r="X91" s="1048" t="str">
        <f>IFERROR(__xludf.DUMMYFUNCTION("""COMPUTED_VALUE"""),"#N/A")</f>
        <v>#N/A</v>
      </c>
      <c r="Y91" s="1056"/>
      <c r="Z91" s="1047"/>
      <c r="AA91" s="1050">
        <f>IFERROR(__xludf.DUMMYFUNCTION("""COMPUTED_VALUE"""),8.0)</f>
        <v>8</v>
      </c>
      <c r="AB91" s="1056" t="str">
        <f>IFERROR(__xludf.DUMMYFUNCTION("""COMPUTED_VALUE"""),"#DIV/0!")</f>
        <v>#DIV/0!</v>
      </c>
    </row>
    <row r="92" ht="15.75" customHeight="1">
      <c r="A92" s="1064">
        <f>IFERROR(__xludf.DUMMYFUNCTION("""COMPUTED_VALUE"""),87.0)</f>
        <v>87</v>
      </c>
      <c r="B92" s="1030"/>
      <c r="C92" s="768"/>
      <c r="D92" s="700"/>
      <c r="E92" s="1034"/>
      <c r="F92" s="1033">
        <f>IFERROR(__xludf.DUMMYFUNCTION("""COMPUTED_VALUE"""),0.0)</f>
        <v>0</v>
      </c>
      <c r="G92" s="1034"/>
      <c r="H92" s="1057"/>
      <c r="I92" s="1036">
        <f>IFERROR(__xludf.DUMMYFUNCTION("""COMPUTED_VALUE"""),14.0)</f>
        <v>14</v>
      </c>
      <c r="J92" s="1037"/>
      <c r="K92" s="1054"/>
      <c r="L92" s="1039">
        <f>IFERROR(__xludf.DUMMYFUNCTION("""COMPUTED_VALUE"""),223.0)</f>
        <v>223</v>
      </c>
      <c r="M92" s="1040"/>
      <c r="N92" s="1041"/>
      <c r="O92" s="1042">
        <f>IFERROR(__xludf.DUMMYFUNCTION("""COMPUTED_VALUE"""),0.0)</f>
        <v>0</v>
      </c>
      <c r="P92" s="1058"/>
      <c r="Q92" s="1059"/>
      <c r="R92" s="1044">
        <f>IFERROR(__xludf.DUMMYFUNCTION("""COMPUTED_VALUE"""),2.0)</f>
        <v>2</v>
      </c>
      <c r="S92" s="1059"/>
      <c r="T92" s="1045"/>
      <c r="U92" s="1045" t="str">
        <f>IFERROR(__xludf.DUMMYFUNCTION("""COMPUTED_VALUE"""),"#VALUE!")</f>
        <v>#VALUE!</v>
      </c>
      <c r="V92" s="1090"/>
      <c r="W92" s="1060"/>
      <c r="X92" s="1048" t="str">
        <f>IFERROR(__xludf.DUMMYFUNCTION("""COMPUTED_VALUE"""),"#N/A")</f>
        <v>#N/A</v>
      </c>
      <c r="Y92" s="1056"/>
      <c r="Z92" s="1047"/>
      <c r="AA92" s="1050">
        <f>IFERROR(__xludf.DUMMYFUNCTION("""COMPUTED_VALUE"""),8.0)</f>
        <v>8</v>
      </c>
      <c r="AB92" s="1051" t="str">
        <f>IFERROR(__xludf.DUMMYFUNCTION("""COMPUTED_VALUE"""),"#DIV/0!")</f>
        <v>#DIV/0!</v>
      </c>
    </row>
    <row r="93" ht="15.75" customHeight="1">
      <c r="A93" s="1030">
        <f>IFERROR(__xludf.DUMMYFUNCTION("""COMPUTED_VALUE"""),88.0)</f>
        <v>88</v>
      </c>
      <c r="B93" s="1030"/>
      <c r="C93" s="768"/>
      <c r="D93" s="700"/>
      <c r="E93" s="1034"/>
      <c r="F93" s="1033">
        <f>IFERROR(__xludf.DUMMYFUNCTION("""COMPUTED_VALUE"""),0.0)</f>
        <v>0</v>
      </c>
      <c r="G93" s="1034"/>
      <c r="H93" s="1057"/>
      <c r="I93" s="1036">
        <f>IFERROR(__xludf.DUMMYFUNCTION("""COMPUTED_VALUE"""),14.0)</f>
        <v>14</v>
      </c>
      <c r="J93" s="1037"/>
      <c r="K93" s="1054"/>
      <c r="L93" s="1039">
        <f>IFERROR(__xludf.DUMMYFUNCTION("""COMPUTED_VALUE"""),223.0)</f>
        <v>223</v>
      </c>
      <c r="M93" s="1055"/>
      <c r="N93" s="1041"/>
      <c r="O93" s="1042">
        <f>IFERROR(__xludf.DUMMYFUNCTION("""COMPUTED_VALUE"""),0.0)</f>
        <v>0</v>
      </c>
      <c r="P93" s="1058"/>
      <c r="Q93" s="1059"/>
      <c r="R93" s="1044">
        <f>IFERROR(__xludf.DUMMYFUNCTION("""COMPUTED_VALUE"""),2.0)</f>
        <v>2</v>
      </c>
      <c r="S93" s="1059"/>
      <c r="T93" s="1045"/>
      <c r="U93" s="1045" t="str">
        <f>IFERROR(__xludf.DUMMYFUNCTION("""COMPUTED_VALUE"""),"#VALUE!")</f>
        <v>#VALUE!</v>
      </c>
      <c r="V93" s="1090"/>
      <c r="W93" s="1060"/>
      <c r="X93" s="1048" t="str">
        <f>IFERROR(__xludf.DUMMYFUNCTION("""COMPUTED_VALUE"""),"#N/A")</f>
        <v>#N/A</v>
      </c>
      <c r="Y93" s="1056"/>
      <c r="Z93" s="1047"/>
      <c r="AA93" s="1050">
        <f>IFERROR(__xludf.DUMMYFUNCTION("""COMPUTED_VALUE"""),8.0)</f>
        <v>8</v>
      </c>
      <c r="AB93" s="1056" t="str">
        <f>IFERROR(__xludf.DUMMYFUNCTION("""COMPUTED_VALUE"""),"#DIV/0!")</f>
        <v>#DIV/0!</v>
      </c>
    </row>
    <row r="94" ht="15.75" customHeight="1">
      <c r="A94" s="1064">
        <f>IFERROR(__xludf.DUMMYFUNCTION("""COMPUTED_VALUE"""),89.0)</f>
        <v>89</v>
      </c>
      <c r="B94" s="1030"/>
      <c r="C94" s="768"/>
      <c r="D94" s="700"/>
      <c r="E94" s="1034"/>
      <c r="F94" s="1033">
        <f>IFERROR(__xludf.DUMMYFUNCTION("""COMPUTED_VALUE"""),0.0)</f>
        <v>0</v>
      </c>
      <c r="G94" s="1034"/>
      <c r="H94" s="1057"/>
      <c r="I94" s="1036">
        <f>IFERROR(__xludf.DUMMYFUNCTION("""COMPUTED_VALUE"""),14.0)</f>
        <v>14</v>
      </c>
      <c r="J94" s="1037"/>
      <c r="K94" s="1054"/>
      <c r="L94" s="1039">
        <f>IFERROR(__xludf.DUMMYFUNCTION("""COMPUTED_VALUE"""),223.0)</f>
        <v>223</v>
      </c>
      <c r="M94" s="1055"/>
      <c r="N94" s="1041"/>
      <c r="O94" s="1042">
        <f>IFERROR(__xludf.DUMMYFUNCTION("""COMPUTED_VALUE"""),0.0)</f>
        <v>0</v>
      </c>
      <c r="P94" s="1058"/>
      <c r="Q94" s="1059"/>
      <c r="R94" s="1044">
        <f>IFERROR(__xludf.DUMMYFUNCTION("""COMPUTED_VALUE"""),2.0)</f>
        <v>2</v>
      </c>
      <c r="S94" s="1059"/>
      <c r="T94" s="1045"/>
      <c r="U94" s="1045" t="str">
        <f>IFERROR(__xludf.DUMMYFUNCTION("""COMPUTED_VALUE"""),"#VALUE!")</f>
        <v>#VALUE!</v>
      </c>
      <c r="V94" s="1090"/>
      <c r="W94" s="1060"/>
      <c r="X94" s="1048" t="str">
        <f>IFERROR(__xludf.DUMMYFUNCTION("""COMPUTED_VALUE"""),"#N/A")</f>
        <v>#N/A</v>
      </c>
      <c r="Y94" s="1056"/>
      <c r="Z94" s="1047"/>
      <c r="AA94" s="1050">
        <f>IFERROR(__xludf.DUMMYFUNCTION("""COMPUTED_VALUE"""),8.0)</f>
        <v>8</v>
      </c>
      <c r="AB94" s="1056" t="str">
        <f>IFERROR(__xludf.DUMMYFUNCTION("""COMPUTED_VALUE"""),"#DIV/0!")</f>
        <v>#DIV/0!</v>
      </c>
    </row>
    <row r="95" ht="15.75" customHeight="1">
      <c r="A95" s="1030">
        <f>IFERROR(__xludf.DUMMYFUNCTION("""COMPUTED_VALUE"""),90.0)</f>
        <v>90</v>
      </c>
      <c r="B95" s="1030"/>
      <c r="C95" s="768"/>
      <c r="D95" s="700"/>
      <c r="E95" s="1076"/>
      <c r="F95" s="1033">
        <f>IFERROR(__xludf.DUMMYFUNCTION("""COMPUTED_VALUE"""),0.0)</f>
        <v>0</v>
      </c>
      <c r="G95" s="1076"/>
      <c r="H95" s="1077"/>
      <c r="I95" s="1036">
        <f>IFERROR(__xludf.DUMMYFUNCTION("""COMPUTED_VALUE"""),14.0)</f>
        <v>14</v>
      </c>
      <c r="J95" s="1089"/>
      <c r="K95" s="1054"/>
      <c r="L95" s="1039">
        <f>IFERROR(__xludf.DUMMYFUNCTION("""COMPUTED_VALUE"""),223.0)</f>
        <v>223</v>
      </c>
      <c r="M95" s="1055"/>
      <c r="N95" s="1041"/>
      <c r="O95" s="1042">
        <f>IFERROR(__xludf.DUMMYFUNCTION("""COMPUTED_VALUE"""),0.0)</f>
        <v>0</v>
      </c>
      <c r="P95" s="1058"/>
      <c r="Q95" s="1059"/>
      <c r="R95" s="1044">
        <f>IFERROR(__xludf.DUMMYFUNCTION("""COMPUTED_VALUE"""),2.0)</f>
        <v>2</v>
      </c>
      <c r="S95" s="1059"/>
      <c r="T95" s="1045"/>
      <c r="U95" s="1045" t="str">
        <f>IFERROR(__xludf.DUMMYFUNCTION("""COMPUTED_VALUE"""),"#VALUE!")</f>
        <v>#VALUE!</v>
      </c>
      <c r="V95" s="1046"/>
      <c r="W95" s="1060"/>
      <c r="X95" s="1048" t="str">
        <f>IFERROR(__xludf.DUMMYFUNCTION("""COMPUTED_VALUE"""),"#N/A")</f>
        <v>#N/A</v>
      </c>
      <c r="Y95" s="1056"/>
      <c r="Z95" s="1047"/>
      <c r="AA95" s="1050">
        <f>IFERROR(__xludf.DUMMYFUNCTION("""COMPUTED_VALUE"""),8.0)</f>
        <v>8</v>
      </c>
      <c r="AB95" s="1056" t="str">
        <f>IFERROR(__xludf.DUMMYFUNCTION("""COMPUTED_VALUE"""),"#DIV/0!")</f>
        <v>#DIV/0!</v>
      </c>
    </row>
    <row r="96" ht="15.75" customHeight="1">
      <c r="A96" s="1064">
        <f>IFERROR(__xludf.DUMMYFUNCTION("""COMPUTED_VALUE"""),91.0)</f>
        <v>91</v>
      </c>
      <c r="B96" s="1030"/>
      <c r="C96" s="768"/>
      <c r="D96" s="700"/>
      <c r="E96" s="1076"/>
      <c r="F96" s="1033">
        <f>IFERROR(__xludf.DUMMYFUNCTION("""COMPUTED_VALUE"""),0.0)</f>
        <v>0</v>
      </c>
      <c r="G96" s="1076"/>
      <c r="H96" s="1077"/>
      <c r="I96" s="1036">
        <f>IFERROR(__xludf.DUMMYFUNCTION("""COMPUTED_VALUE"""),14.0)</f>
        <v>14</v>
      </c>
      <c r="J96" s="1089"/>
      <c r="K96" s="1054"/>
      <c r="L96" s="1039">
        <f>IFERROR(__xludf.DUMMYFUNCTION("""COMPUTED_VALUE"""),223.0)</f>
        <v>223</v>
      </c>
      <c r="M96" s="1040"/>
      <c r="N96" s="1041"/>
      <c r="O96" s="1042">
        <f>IFERROR(__xludf.DUMMYFUNCTION("""COMPUTED_VALUE"""),0.0)</f>
        <v>0</v>
      </c>
      <c r="P96" s="1058"/>
      <c r="Q96" s="1059"/>
      <c r="R96" s="1044">
        <f>IFERROR(__xludf.DUMMYFUNCTION("""COMPUTED_VALUE"""),2.0)</f>
        <v>2</v>
      </c>
      <c r="S96" s="1059"/>
      <c r="T96" s="1045"/>
      <c r="U96" s="1045" t="str">
        <f>IFERROR(__xludf.DUMMYFUNCTION("""COMPUTED_VALUE"""),"#VALUE!")</f>
        <v>#VALUE!</v>
      </c>
      <c r="V96" s="1090"/>
      <c r="W96" s="1060"/>
      <c r="X96" s="1048" t="str">
        <f>IFERROR(__xludf.DUMMYFUNCTION("""COMPUTED_VALUE"""),"#N/A")</f>
        <v>#N/A</v>
      </c>
      <c r="Y96" s="1056"/>
      <c r="Z96" s="1047"/>
      <c r="AA96" s="1050">
        <f>IFERROR(__xludf.DUMMYFUNCTION("""COMPUTED_VALUE"""),8.0)</f>
        <v>8</v>
      </c>
      <c r="AB96" s="1051" t="str">
        <f>IFERROR(__xludf.DUMMYFUNCTION("""COMPUTED_VALUE"""),"#DIV/0!")</f>
        <v>#DIV/0!</v>
      </c>
    </row>
    <row r="97" ht="15.75" customHeight="1">
      <c r="A97" s="1030">
        <f>IFERROR(__xludf.DUMMYFUNCTION("""COMPUTED_VALUE"""),92.0)</f>
        <v>92</v>
      </c>
      <c r="B97" s="1030"/>
      <c r="C97" s="768"/>
      <c r="D97" s="700"/>
      <c r="E97" s="1076"/>
      <c r="F97" s="1033">
        <f>IFERROR(__xludf.DUMMYFUNCTION("""COMPUTED_VALUE"""),0.0)</f>
        <v>0</v>
      </c>
      <c r="G97" s="1076"/>
      <c r="H97" s="1077"/>
      <c r="I97" s="1036">
        <f>IFERROR(__xludf.DUMMYFUNCTION("""COMPUTED_VALUE"""),14.0)</f>
        <v>14</v>
      </c>
      <c r="J97" s="1089"/>
      <c r="K97" s="1054"/>
      <c r="L97" s="1039">
        <f>IFERROR(__xludf.DUMMYFUNCTION("""COMPUTED_VALUE"""),223.0)</f>
        <v>223</v>
      </c>
      <c r="M97" s="1055"/>
      <c r="N97" s="1079"/>
      <c r="O97" s="1042">
        <f>IFERROR(__xludf.DUMMYFUNCTION("""COMPUTED_VALUE"""),0.0)</f>
        <v>0</v>
      </c>
      <c r="P97" s="1084"/>
      <c r="Q97" s="1085"/>
      <c r="R97" s="1044">
        <f>IFERROR(__xludf.DUMMYFUNCTION("""COMPUTED_VALUE"""),2.0)</f>
        <v>2</v>
      </c>
      <c r="S97" s="1085"/>
      <c r="T97" s="1045"/>
      <c r="U97" s="1045" t="str">
        <f>IFERROR(__xludf.DUMMYFUNCTION("""COMPUTED_VALUE"""),"#VALUE!")</f>
        <v>#VALUE!</v>
      </c>
      <c r="V97" s="1046"/>
      <c r="W97" s="1086"/>
      <c r="X97" s="1048" t="str">
        <f>IFERROR(__xludf.DUMMYFUNCTION("""COMPUTED_VALUE"""),"#N/A")</f>
        <v>#N/A</v>
      </c>
      <c r="Y97" s="1093"/>
      <c r="Z97" s="1047"/>
      <c r="AA97" s="1050">
        <f>IFERROR(__xludf.DUMMYFUNCTION("""COMPUTED_VALUE"""),8.0)</f>
        <v>8</v>
      </c>
      <c r="AB97" s="1056" t="str">
        <f>IFERROR(__xludf.DUMMYFUNCTION("""COMPUTED_VALUE"""),"#DIV/0!")</f>
        <v>#DIV/0!</v>
      </c>
    </row>
    <row r="98" ht="15.75" customHeight="1">
      <c r="A98" s="1064">
        <f>IFERROR(__xludf.DUMMYFUNCTION("""COMPUTED_VALUE"""),93.0)</f>
        <v>93</v>
      </c>
      <c r="B98" s="1030"/>
      <c r="C98" s="768"/>
      <c r="D98" s="716"/>
      <c r="E98" s="1076"/>
      <c r="F98" s="1033">
        <f>IFERROR(__xludf.DUMMYFUNCTION("""COMPUTED_VALUE"""),0.0)</f>
        <v>0</v>
      </c>
      <c r="G98" s="1076"/>
      <c r="H98" s="1077"/>
      <c r="I98" s="1036">
        <f>IFERROR(__xludf.DUMMYFUNCTION("""COMPUTED_VALUE"""),14.0)</f>
        <v>14</v>
      </c>
      <c r="J98" s="1089"/>
      <c r="K98" s="1054"/>
      <c r="L98" s="1039">
        <f>IFERROR(__xludf.DUMMYFUNCTION("""COMPUTED_VALUE"""),223.0)</f>
        <v>223</v>
      </c>
      <c r="M98" s="1055"/>
      <c r="N98" s="1041"/>
      <c r="O98" s="1042">
        <f>IFERROR(__xludf.DUMMYFUNCTION("""COMPUTED_VALUE"""),0.0)</f>
        <v>0</v>
      </c>
      <c r="P98" s="1061"/>
      <c r="Q98" s="1062"/>
      <c r="R98" s="1044">
        <f>IFERROR(__xludf.DUMMYFUNCTION("""COMPUTED_VALUE"""),2.0)</f>
        <v>2</v>
      </c>
      <c r="S98" s="1062"/>
      <c r="T98" s="1045"/>
      <c r="U98" s="1045" t="str">
        <f>IFERROR(__xludf.DUMMYFUNCTION("""COMPUTED_VALUE"""),"#VALUE!")</f>
        <v>#VALUE!</v>
      </c>
      <c r="V98" s="1046"/>
      <c r="W98" s="1063"/>
      <c r="X98" s="1048" t="str">
        <f>IFERROR(__xludf.DUMMYFUNCTION("""COMPUTED_VALUE"""),"#N/A")</f>
        <v>#N/A</v>
      </c>
      <c r="Y98" s="1051"/>
      <c r="Z98" s="1047"/>
      <c r="AA98" s="1050">
        <f>IFERROR(__xludf.DUMMYFUNCTION("""COMPUTED_VALUE"""),8.0)</f>
        <v>8</v>
      </c>
      <c r="AB98" s="1056" t="str">
        <f>IFERROR(__xludf.DUMMYFUNCTION("""COMPUTED_VALUE"""),"#DIV/0!")</f>
        <v>#DIV/0!</v>
      </c>
    </row>
    <row r="99" ht="15.75" customHeight="1">
      <c r="A99" s="1030">
        <f>IFERROR(__xludf.DUMMYFUNCTION("""COMPUTED_VALUE"""),94.0)</f>
        <v>94</v>
      </c>
      <c r="B99" s="1030"/>
      <c r="C99" s="768"/>
      <c r="D99" s="700"/>
      <c r="E99" s="1076"/>
      <c r="F99" s="1033">
        <f>IFERROR(__xludf.DUMMYFUNCTION("""COMPUTED_VALUE"""),0.0)</f>
        <v>0</v>
      </c>
      <c r="G99" s="1076"/>
      <c r="H99" s="1077"/>
      <c r="I99" s="1036">
        <f>IFERROR(__xludf.DUMMYFUNCTION("""COMPUTED_VALUE"""),14.0)</f>
        <v>14</v>
      </c>
      <c r="J99" s="1089"/>
      <c r="K99" s="1054"/>
      <c r="L99" s="1039">
        <f>IFERROR(__xludf.DUMMYFUNCTION("""COMPUTED_VALUE"""),223.0)</f>
        <v>223</v>
      </c>
      <c r="M99" s="1055"/>
      <c r="N99" s="1041"/>
      <c r="O99" s="1042">
        <f>IFERROR(__xludf.DUMMYFUNCTION("""COMPUTED_VALUE"""),0.0)</f>
        <v>0</v>
      </c>
      <c r="P99" s="1061"/>
      <c r="Q99" s="1062"/>
      <c r="R99" s="1044">
        <f>IFERROR(__xludf.DUMMYFUNCTION("""COMPUTED_VALUE"""),2.0)</f>
        <v>2</v>
      </c>
      <c r="S99" s="1062"/>
      <c r="T99" s="1045"/>
      <c r="U99" s="1045" t="str">
        <f>IFERROR(__xludf.DUMMYFUNCTION("""COMPUTED_VALUE"""),"#VALUE!")</f>
        <v>#VALUE!</v>
      </c>
      <c r="V99" s="1090"/>
      <c r="W99" s="1063"/>
      <c r="X99" s="1048" t="str">
        <f>IFERROR(__xludf.DUMMYFUNCTION("""COMPUTED_VALUE"""),"#N/A")</f>
        <v>#N/A</v>
      </c>
      <c r="Y99" s="1051"/>
      <c r="Z99" s="1047"/>
      <c r="AA99" s="1050">
        <f>IFERROR(__xludf.DUMMYFUNCTION("""COMPUTED_VALUE"""),8.0)</f>
        <v>8</v>
      </c>
      <c r="AB99" s="1056" t="str">
        <f>IFERROR(__xludf.DUMMYFUNCTION("""COMPUTED_VALUE"""),"#DIV/0!")</f>
        <v>#DIV/0!</v>
      </c>
    </row>
    <row r="100" ht="15.75" customHeight="1">
      <c r="A100" s="1064">
        <f>IFERROR(__xludf.DUMMYFUNCTION("""COMPUTED_VALUE"""),95.0)</f>
        <v>95</v>
      </c>
      <c r="B100" s="1064"/>
      <c r="C100" s="768"/>
      <c r="D100" s="716"/>
      <c r="E100" s="1076"/>
      <c r="F100" s="1033">
        <f>IFERROR(__xludf.DUMMYFUNCTION("""COMPUTED_VALUE"""),0.0)</f>
        <v>0</v>
      </c>
      <c r="G100" s="1076"/>
      <c r="H100" s="1077"/>
      <c r="I100" s="1036">
        <f>IFERROR(__xludf.DUMMYFUNCTION("""COMPUTED_VALUE"""),14.0)</f>
        <v>14</v>
      </c>
      <c r="J100" s="1089"/>
      <c r="K100" s="1054"/>
      <c r="L100" s="1039">
        <f>IFERROR(__xludf.DUMMYFUNCTION("""COMPUTED_VALUE"""),223.0)</f>
        <v>223</v>
      </c>
      <c r="M100" s="1055"/>
      <c r="N100" s="1041"/>
      <c r="O100" s="1042">
        <f>IFERROR(__xludf.DUMMYFUNCTION("""COMPUTED_VALUE"""),0.0)</f>
        <v>0</v>
      </c>
      <c r="P100" s="1058"/>
      <c r="Q100" s="1059"/>
      <c r="R100" s="1044">
        <f>IFERROR(__xludf.DUMMYFUNCTION("""COMPUTED_VALUE"""),2.0)</f>
        <v>2</v>
      </c>
      <c r="S100" s="1059"/>
      <c r="T100" s="1045"/>
      <c r="U100" s="1045" t="str">
        <f>IFERROR(__xludf.DUMMYFUNCTION("""COMPUTED_VALUE"""),"#VALUE!")</f>
        <v>#VALUE!</v>
      </c>
      <c r="V100" s="1090"/>
      <c r="W100" s="1060"/>
      <c r="X100" s="1048" t="str">
        <f>IFERROR(__xludf.DUMMYFUNCTION("""COMPUTED_VALUE"""),"#N/A")</f>
        <v>#N/A</v>
      </c>
      <c r="Y100" s="1056"/>
      <c r="Z100" s="1047"/>
      <c r="AA100" s="1050">
        <f>IFERROR(__xludf.DUMMYFUNCTION("""COMPUTED_VALUE"""),8.0)</f>
        <v>8</v>
      </c>
      <c r="AB100" s="1056" t="str">
        <f>IFERROR(__xludf.DUMMYFUNCTION("""COMPUTED_VALUE"""),"#DIV/0!")</f>
        <v>#DIV/0!</v>
      </c>
    </row>
    <row r="101" ht="15.75" customHeight="1">
      <c r="A101" s="1030">
        <f>IFERROR(__xludf.DUMMYFUNCTION("""COMPUTED_VALUE"""),96.0)</f>
        <v>96</v>
      </c>
      <c r="B101" s="1092"/>
      <c r="C101" s="768"/>
      <c r="D101" s="700"/>
      <c r="E101" s="1076"/>
      <c r="F101" s="1033">
        <f>IFERROR(__xludf.DUMMYFUNCTION("""COMPUTED_VALUE"""),0.0)</f>
        <v>0</v>
      </c>
      <c r="G101" s="1076"/>
      <c r="H101" s="1077"/>
      <c r="I101" s="1036">
        <f>IFERROR(__xludf.DUMMYFUNCTION("""COMPUTED_VALUE"""),14.0)</f>
        <v>14</v>
      </c>
      <c r="J101" s="1089"/>
      <c r="K101" s="1054"/>
      <c r="L101" s="1039">
        <f>IFERROR(__xludf.DUMMYFUNCTION("""COMPUTED_VALUE"""),223.0)</f>
        <v>223</v>
      </c>
      <c r="M101" s="1055"/>
      <c r="N101" s="1041"/>
      <c r="O101" s="1042">
        <f>IFERROR(__xludf.DUMMYFUNCTION("""COMPUTED_VALUE"""),0.0)</f>
        <v>0</v>
      </c>
      <c r="P101" s="1058"/>
      <c r="Q101" s="1059"/>
      <c r="R101" s="1044">
        <f>IFERROR(__xludf.DUMMYFUNCTION("""COMPUTED_VALUE"""),2.0)</f>
        <v>2</v>
      </c>
      <c r="S101" s="1059"/>
      <c r="T101" s="1045"/>
      <c r="U101" s="1045" t="str">
        <f>IFERROR(__xludf.DUMMYFUNCTION("""COMPUTED_VALUE"""),"#VALUE!")</f>
        <v>#VALUE!</v>
      </c>
      <c r="V101" s="1090"/>
      <c r="W101" s="1060"/>
      <c r="X101" s="1048" t="str">
        <f>IFERROR(__xludf.DUMMYFUNCTION("""COMPUTED_VALUE"""),"#N/A")</f>
        <v>#N/A</v>
      </c>
      <c r="Y101" s="1056"/>
      <c r="Z101" s="1047"/>
      <c r="AA101" s="1050">
        <f>IFERROR(__xludf.DUMMYFUNCTION("""COMPUTED_VALUE"""),8.0)</f>
        <v>8</v>
      </c>
      <c r="AB101" s="1056" t="str">
        <f>IFERROR(__xludf.DUMMYFUNCTION("""COMPUTED_VALUE"""),"#DIV/0!")</f>
        <v>#DIV/0!</v>
      </c>
    </row>
    <row r="102" ht="15.75" customHeight="1">
      <c r="A102" s="1064">
        <f>IFERROR(__xludf.DUMMYFUNCTION("""COMPUTED_VALUE"""),97.0)</f>
        <v>97</v>
      </c>
      <c r="B102" s="1075"/>
      <c r="C102" s="768"/>
      <c r="D102" s="716"/>
      <c r="E102" s="1034"/>
      <c r="F102" s="1033">
        <f>IFERROR(__xludf.DUMMYFUNCTION("""COMPUTED_VALUE"""),0.0)</f>
        <v>0</v>
      </c>
      <c r="G102" s="1034"/>
      <c r="H102" s="1057"/>
      <c r="I102" s="1036">
        <f>IFERROR(__xludf.DUMMYFUNCTION("""COMPUTED_VALUE"""),14.0)</f>
        <v>14</v>
      </c>
      <c r="J102" s="1037"/>
      <c r="K102" s="1054"/>
      <c r="L102" s="1039">
        <f>IFERROR(__xludf.DUMMYFUNCTION("""COMPUTED_VALUE"""),223.0)</f>
        <v>223</v>
      </c>
      <c r="M102" s="1055"/>
      <c r="N102" s="1041"/>
      <c r="O102" s="1042">
        <f>IFERROR(__xludf.DUMMYFUNCTION("""COMPUTED_VALUE"""),0.0)</f>
        <v>0</v>
      </c>
      <c r="P102" s="1058"/>
      <c r="Q102" s="1059"/>
      <c r="R102" s="1044">
        <f>IFERROR(__xludf.DUMMYFUNCTION("""COMPUTED_VALUE"""),2.0)</f>
        <v>2</v>
      </c>
      <c r="S102" s="1059"/>
      <c r="T102" s="1045"/>
      <c r="U102" s="1045" t="str">
        <f>IFERROR(__xludf.DUMMYFUNCTION("""COMPUTED_VALUE"""),"#VALUE!")</f>
        <v>#VALUE!</v>
      </c>
      <c r="V102" s="1046"/>
      <c r="W102" s="1060"/>
      <c r="X102" s="1048" t="str">
        <f>IFERROR(__xludf.DUMMYFUNCTION("""COMPUTED_VALUE"""),"#N/A")</f>
        <v>#N/A</v>
      </c>
      <c r="Y102" s="1091"/>
      <c r="Z102" s="1047"/>
      <c r="AA102" s="1050">
        <f>IFERROR(__xludf.DUMMYFUNCTION("""COMPUTED_VALUE"""),8.0)</f>
        <v>8</v>
      </c>
      <c r="AB102" s="1056" t="str">
        <f>IFERROR(__xludf.DUMMYFUNCTION("""COMPUTED_VALUE"""),"#DIV/0!")</f>
        <v>#DIV/0!</v>
      </c>
    </row>
    <row r="103" ht="15.75" customHeight="1">
      <c r="A103" s="1030">
        <f>IFERROR(__xludf.DUMMYFUNCTION("""COMPUTED_VALUE"""),98.0)</f>
        <v>98</v>
      </c>
      <c r="B103" s="1030"/>
      <c r="C103" s="768"/>
      <c r="D103" s="700"/>
      <c r="E103" s="1076"/>
      <c r="F103" s="1033">
        <f>IFERROR(__xludf.DUMMYFUNCTION("""COMPUTED_VALUE"""),0.0)</f>
        <v>0</v>
      </c>
      <c r="G103" s="1076"/>
      <c r="H103" s="1077"/>
      <c r="I103" s="1036">
        <f>IFERROR(__xludf.DUMMYFUNCTION("""COMPUTED_VALUE"""),14.0)</f>
        <v>14</v>
      </c>
      <c r="J103" s="1089"/>
      <c r="K103" s="1054"/>
      <c r="L103" s="1039">
        <f>IFERROR(__xludf.DUMMYFUNCTION("""COMPUTED_VALUE"""),223.0)</f>
        <v>223</v>
      </c>
      <c r="M103" s="1055"/>
      <c r="N103" s="1041"/>
      <c r="O103" s="1042">
        <f>IFERROR(__xludf.DUMMYFUNCTION("""COMPUTED_VALUE"""),0.0)</f>
        <v>0</v>
      </c>
      <c r="P103" s="1058"/>
      <c r="Q103" s="1059"/>
      <c r="R103" s="1044">
        <f>IFERROR(__xludf.DUMMYFUNCTION("""COMPUTED_VALUE"""),2.0)</f>
        <v>2</v>
      </c>
      <c r="S103" s="1059"/>
      <c r="T103" s="1045"/>
      <c r="U103" s="1045" t="str">
        <f>IFERROR(__xludf.DUMMYFUNCTION("""COMPUTED_VALUE"""),"#VALUE!")</f>
        <v>#VALUE!</v>
      </c>
      <c r="V103" s="1046"/>
      <c r="W103" s="1060"/>
      <c r="X103" s="1048" t="str">
        <f>IFERROR(__xludf.DUMMYFUNCTION("""COMPUTED_VALUE"""),"#N/A")</f>
        <v>#N/A</v>
      </c>
      <c r="Y103" s="1091"/>
      <c r="Z103" s="1047"/>
      <c r="AA103" s="1050">
        <f>IFERROR(__xludf.DUMMYFUNCTION("""COMPUTED_VALUE"""),8.0)</f>
        <v>8</v>
      </c>
      <c r="AB103" s="1056" t="str">
        <f>IFERROR(__xludf.DUMMYFUNCTION("""COMPUTED_VALUE"""),"#DIV/0!")</f>
        <v>#DIV/0!</v>
      </c>
    </row>
    <row r="104" ht="15.75" customHeight="1">
      <c r="A104" s="1064">
        <f>IFERROR(__xludf.DUMMYFUNCTION("""COMPUTED_VALUE"""),99.0)</f>
        <v>99</v>
      </c>
      <c r="B104" s="1030"/>
      <c r="C104" s="768"/>
      <c r="D104" s="700"/>
      <c r="E104" s="1076"/>
      <c r="F104" s="1033">
        <f>IFERROR(__xludf.DUMMYFUNCTION("""COMPUTED_VALUE"""),0.0)</f>
        <v>0</v>
      </c>
      <c r="G104" s="1076"/>
      <c r="H104" s="1077"/>
      <c r="I104" s="1036">
        <f>IFERROR(__xludf.DUMMYFUNCTION("""COMPUTED_VALUE"""),14.0)</f>
        <v>14</v>
      </c>
      <c r="J104" s="1089"/>
      <c r="K104" s="1054"/>
      <c r="L104" s="1039">
        <f>IFERROR(__xludf.DUMMYFUNCTION("""COMPUTED_VALUE"""),223.0)</f>
        <v>223</v>
      </c>
      <c r="M104" s="1055"/>
      <c r="N104" s="1041"/>
      <c r="O104" s="1042">
        <f>IFERROR(__xludf.DUMMYFUNCTION("""COMPUTED_VALUE"""),0.0)</f>
        <v>0</v>
      </c>
      <c r="P104" s="1058"/>
      <c r="Q104" s="1059"/>
      <c r="R104" s="1044">
        <f>IFERROR(__xludf.DUMMYFUNCTION("""COMPUTED_VALUE"""),2.0)</f>
        <v>2</v>
      </c>
      <c r="S104" s="1059"/>
      <c r="T104" s="1045"/>
      <c r="U104" s="1045" t="str">
        <f>IFERROR(__xludf.DUMMYFUNCTION("""COMPUTED_VALUE"""),"#VALUE!")</f>
        <v>#VALUE!</v>
      </c>
      <c r="V104" s="1046"/>
      <c r="W104" s="1060"/>
      <c r="X104" s="1048" t="str">
        <f>IFERROR(__xludf.DUMMYFUNCTION("""COMPUTED_VALUE"""),"#N/A")</f>
        <v>#N/A</v>
      </c>
      <c r="Y104" s="1091"/>
      <c r="Z104" s="1047"/>
      <c r="AA104" s="1050">
        <f>IFERROR(__xludf.DUMMYFUNCTION("""COMPUTED_VALUE"""),8.0)</f>
        <v>8</v>
      </c>
      <c r="AB104" s="1056" t="str">
        <f>IFERROR(__xludf.DUMMYFUNCTION("""COMPUTED_VALUE"""),"#DIV/0!")</f>
        <v>#DIV/0!</v>
      </c>
    </row>
    <row r="105" ht="15.75" customHeight="1">
      <c r="A105" s="1030">
        <f>IFERROR(__xludf.DUMMYFUNCTION("""COMPUTED_VALUE"""),100.0)</f>
        <v>100</v>
      </c>
      <c r="B105" s="1030"/>
      <c r="C105" s="768"/>
      <c r="D105" s="716"/>
      <c r="E105" s="1076"/>
      <c r="F105" s="1033">
        <f>IFERROR(__xludf.DUMMYFUNCTION("""COMPUTED_VALUE"""),0.0)</f>
        <v>0</v>
      </c>
      <c r="G105" s="1076"/>
      <c r="H105" s="1077"/>
      <c r="I105" s="1036">
        <f>IFERROR(__xludf.DUMMYFUNCTION("""COMPUTED_VALUE"""),14.0)</f>
        <v>14</v>
      </c>
      <c r="J105" s="1089"/>
      <c r="K105" s="1054"/>
      <c r="L105" s="1039">
        <f>IFERROR(__xludf.DUMMYFUNCTION("""COMPUTED_VALUE"""),223.0)</f>
        <v>223</v>
      </c>
      <c r="M105" s="1055"/>
      <c r="N105" s="1041"/>
      <c r="O105" s="1042">
        <f>IFERROR(__xludf.DUMMYFUNCTION("""COMPUTED_VALUE"""),0.0)</f>
        <v>0</v>
      </c>
      <c r="P105" s="1058"/>
      <c r="Q105" s="1059"/>
      <c r="R105" s="1044">
        <f>IFERROR(__xludf.DUMMYFUNCTION("""COMPUTED_VALUE"""),2.0)</f>
        <v>2</v>
      </c>
      <c r="S105" s="1059"/>
      <c r="T105" s="1045"/>
      <c r="U105" s="1045" t="str">
        <f>IFERROR(__xludf.DUMMYFUNCTION("""COMPUTED_VALUE"""),"#VALUE!")</f>
        <v>#VALUE!</v>
      </c>
      <c r="V105" s="1090"/>
      <c r="W105" s="1060"/>
      <c r="X105" s="1048" t="str">
        <f>IFERROR(__xludf.DUMMYFUNCTION("""COMPUTED_VALUE"""),"#N/A")</f>
        <v>#N/A</v>
      </c>
      <c r="Y105" s="1091"/>
      <c r="Z105" s="1047"/>
      <c r="AA105" s="1050">
        <f>IFERROR(__xludf.DUMMYFUNCTION("""COMPUTED_VALUE"""),8.0)</f>
        <v>8</v>
      </c>
      <c r="AB105" s="1056" t="str">
        <f>IFERROR(__xludf.DUMMYFUNCTION("""COMPUTED_VALUE"""),"#DIV/0!")</f>
        <v>#DIV/0!</v>
      </c>
    </row>
    <row r="106" ht="15.75" customHeight="1">
      <c r="A106" s="1064">
        <f>IFERROR(__xludf.DUMMYFUNCTION("""COMPUTED_VALUE"""),101.0)</f>
        <v>101</v>
      </c>
      <c r="B106" s="1030"/>
      <c r="C106" s="768"/>
      <c r="D106" s="716"/>
      <c r="E106" s="1076"/>
      <c r="F106" s="1033">
        <f>IFERROR(__xludf.DUMMYFUNCTION("""COMPUTED_VALUE"""),0.0)</f>
        <v>0</v>
      </c>
      <c r="G106" s="1076"/>
      <c r="H106" s="1077"/>
      <c r="I106" s="1036">
        <f>IFERROR(__xludf.DUMMYFUNCTION("""COMPUTED_VALUE"""),14.0)</f>
        <v>14</v>
      </c>
      <c r="J106" s="1089"/>
      <c r="K106" s="1054"/>
      <c r="L106" s="1039">
        <f>IFERROR(__xludf.DUMMYFUNCTION("""COMPUTED_VALUE"""),223.0)</f>
        <v>223</v>
      </c>
      <c r="M106" s="1055"/>
      <c r="N106" s="1041"/>
      <c r="O106" s="1042">
        <f>IFERROR(__xludf.DUMMYFUNCTION("""COMPUTED_VALUE"""),0.0)</f>
        <v>0</v>
      </c>
      <c r="P106" s="1058"/>
      <c r="Q106" s="1059"/>
      <c r="R106" s="1044">
        <f>IFERROR(__xludf.DUMMYFUNCTION("""COMPUTED_VALUE"""),2.0)</f>
        <v>2</v>
      </c>
      <c r="S106" s="1059"/>
      <c r="T106" s="1045"/>
      <c r="U106" s="1045" t="str">
        <f>IFERROR(__xludf.DUMMYFUNCTION("""COMPUTED_VALUE"""),"#VALUE!")</f>
        <v>#VALUE!</v>
      </c>
      <c r="V106" s="1090"/>
      <c r="W106" s="1060"/>
      <c r="X106" s="1048" t="str">
        <f>IFERROR(__xludf.DUMMYFUNCTION("""COMPUTED_VALUE"""),"#N/A")</f>
        <v>#N/A</v>
      </c>
      <c r="Y106" s="1091"/>
      <c r="Z106" s="1047"/>
      <c r="AA106" s="1050">
        <f>IFERROR(__xludf.DUMMYFUNCTION("""COMPUTED_VALUE"""),8.0)</f>
        <v>8</v>
      </c>
      <c r="AB106" s="1056" t="str">
        <f>IFERROR(__xludf.DUMMYFUNCTION("""COMPUTED_VALUE"""),"#DIV/0!")</f>
        <v>#DIV/0!</v>
      </c>
    </row>
    <row r="107" ht="15.75" customHeight="1">
      <c r="A107" s="1030">
        <f>IFERROR(__xludf.DUMMYFUNCTION("""COMPUTED_VALUE"""),102.0)</f>
        <v>102</v>
      </c>
      <c r="B107" s="1030"/>
      <c r="C107" s="768"/>
      <c r="D107" s="716"/>
      <c r="E107" s="1076"/>
      <c r="F107" s="1033">
        <f>IFERROR(__xludf.DUMMYFUNCTION("""COMPUTED_VALUE"""),0.0)</f>
        <v>0</v>
      </c>
      <c r="G107" s="1076"/>
      <c r="H107" s="1077"/>
      <c r="I107" s="1036">
        <f>IFERROR(__xludf.DUMMYFUNCTION("""COMPUTED_VALUE"""),14.0)</f>
        <v>14</v>
      </c>
      <c r="J107" s="1089"/>
      <c r="K107" s="1054"/>
      <c r="L107" s="1039">
        <f>IFERROR(__xludf.DUMMYFUNCTION("""COMPUTED_VALUE"""),223.0)</f>
        <v>223</v>
      </c>
      <c r="M107" s="1055"/>
      <c r="N107" s="1041"/>
      <c r="O107" s="1042">
        <f>IFERROR(__xludf.DUMMYFUNCTION("""COMPUTED_VALUE"""),0.0)</f>
        <v>0</v>
      </c>
      <c r="P107" s="1058"/>
      <c r="Q107" s="1059"/>
      <c r="R107" s="1044">
        <f>IFERROR(__xludf.DUMMYFUNCTION("""COMPUTED_VALUE"""),2.0)</f>
        <v>2</v>
      </c>
      <c r="S107" s="1059"/>
      <c r="T107" s="1045"/>
      <c r="U107" s="1045" t="str">
        <f>IFERROR(__xludf.DUMMYFUNCTION("""COMPUTED_VALUE"""),"#VALUE!")</f>
        <v>#VALUE!</v>
      </c>
      <c r="V107" s="1090"/>
      <c r="W107" s="1060"/>
      <c r="X107" s="1048" t="str">
        <f>IFERROR(__xludf.DUMMYFUNCTION("""COMPUTED_VALUE"""),"#N/A")</f>
        <v>#N/A</v>
      </c>
      <c r="Y107" s="1091"/>
      <c r="Z107" s="1047"/>
      <c r="AA107" s="1050">
        <f>IFERROR(__xludf.DUMMYFUNCTION("""COMPUTED_VALUE"""),8.0)</f>
        <v>8</v>
      </c>
      <c r="AB107" s="1056" t="str">
        <f>IFERROR(__xludf.DUMMYFUNCTION("""COMPUTED_VALUE"""),"#DIV/0!")</f>
        <v>#DIV/0!</v>
      </c>
    </row>
    <row r="108" ht="15.75" customHeight="1">
      <c r="A108" s="1064">
        <f>IFERROR(__xludf.DUMMYFUNCTION("""COMPUTED_VALUE"""),103.0)</f>
        <v>103</v>
      </c>
      <c r="B108" s="1030"/>
      <c r="C108" s="768"/>
      <c r="D108" s="700"/>
      <c r="E108" s="1076"/>
      <c r="F108" s="1033">
        <f>IFERROR(__xludf.DUMMYFUNCTION("""COMPUTED_VALUE"""),0.0)</f>
        <v>0</v>
      </c>
      <c r="G108" s="1076"/>
      <c r="H108" s="1077"/>
      <c r="I108" s="1036">
        <f>IFERROR(__xludf.DUMMYFUNCTION("""COMPUTED_VALUE"""),14.0)</f>
        <v>14</v>
      </c>
      <c r="J108" s="1089"/>
      <c r="K108" s="1054"/>
      <c r="L108" s="1039">
        <f>IFERROR(__xludf.DUMMYFUNCTION("""COMPUTED_VALUE"""),223.0)</f>
        <v>223</v>
      </c>
      <c r="M108" s="1055"/>
      <c r="N108" s="1041"/>
      <c r="O108" s="1042">
        <f>IFERROR(__xludf.DUMMYFUNCTION("""COMPUTED_VALUE"""),0.0)</f>
        <v>0</v>
      </c>
      <c r="P108" s="1058"/>
      <c r="Q108" s="1059"/>
      <c r="R108" s="1044">
        <f>IFERROR(__xludf.DUMMYFUNCTION("""COMPUTED_VALUE"""),2.0)</f>
        <v>2</v>
      </c>
      <c r="S108" s="1059"/>
      <c r="T108" s="1045"/>
      <c r="U108" s="1045" t="str">
        <f>IFERROR(__xludf.DUMMYFUNCTION("""COMPUTED_VALUE"""),"#VALUE!")</f>
        <v>#VALUE!</v>
      </c>
      <c r="V108" s="1090"/>
      <c r="W108" s="1060"/>
      <c r="X108" s="1048" t="str">
        <f>IFERROR(__xludf.DUMMYFUNCTION("""COMPUTED_VALUE"""),"#N/A")</f>
        <v>#N/A</v>
      </c>
      <c r="Y108" s="1091"/>
      <c r="Z108" s="1047"/>
      <c r="AA108" s="1050">
        <f>IFERROR(__xludf.DUMMYFUNCTION("""COMPUTED_VALUE"""),8.0)</f>
        <v>8</v>
      </c>
      <c r="AB108" s="1056" t="str">
        <f>IFERROR(__xludf.DUMMYFUNCTION("""COMPUTED_VALUE"""),"#DIV/0!")</f>
        <v>#DIV/0!</v>
      </c>
    </row>
    <row r="109" ht="15.75" customHeight="1">
      <c r="A109" s="1030">
        <f>IFERROR(__xludf.DUMMYFUNCTION("""COMPUTED_VALUE"""),104.0)</f>
        <v>104</v>
      </c>
      <c r="B109" s="1030"/>
      <c r="C109" s="768"/>
      <c r="D109" s="716"/>
      <c r="E109" s="1076"/>
      <c r="F109" s="1033">
        <f>IFERROR(__xludf.DUMMYFUNCTION("""COMPUTED_VALUE"""),0.0)</f>
        <v>0</v>
      </c>
      <c r="G109" s="1076"/>
      <c r="H109" s="1077"/>
      <c r="I109" s="1036">
        <f>IFERROR(__xludf.DUMMYFUNCTION("""COMPUTED_VALUE"""),14.0)</f>
        <v>14</v>
      </c>
      <c r="J109" s="1089"/>
      <c r="K109" s="1054"/>
      <c r="L109" s="1039">
        <f>IFERROR(__xludf.DUMMYFUNCTION("""COMPUTED_VALUE"""),223.0)</f>
        <v>223</v>
      </c>
      <c r="M109" s="1055"/>
      <c r="N109" s="1041"/>
      <c r="O109" s="1042">
        <f>IFERROR(__xludf.DUMMYFUNCTION("""COMPUTED_VALUE"""),0.0)</f>
        <v>0</v>
      </c>
      <c r="P109" s="1058"/>
      <c r="Q109" s="1059"/>
      <c r="R109" s="1044">
        <f>IFERROR(__xludf.DUMMYFUNCTION("""COMPUTED_VALUE"""),2.0)</f>
        <v>2</v>
      </c>
      <c r="S109" s="1059"/>
      <c r="T109" s="1045"/>
      <c r="U109" s="1045" t="str">
        <f>IFERROR(__xludf.DUMMYFUNCTION("""COMPUTED_VALUE"""),"#VALUE!")</f>
        <v>#VALUE!</v>
      </c>
      <c r="V109" s="1090"/>
      <c r="W109" s="1060"/>
      <c r="X109" s="1048" t="str">
        <f>IFERROR(__xludf.DUMMYFUNCTION("""COMPUTED_VALUE"""),"#N/A")</f>
        <v>#N/A</v>
      </c>
      <c r="Y109" s="1091"/>
      <c r="Z109" s="1047"/>
      <c r="AA109" s="1050">
        <f>IFERROR(__xludf.DUMMYFUNCTION("""COMPUTED_VALUE"""),8.0)</f>
        <v>8</v>
      </c>
      <c r="AB109" s="1056" t="str">
        <f>IFERROR(__xludf.DUMMYFUNCTION("""COMPUTED_VALUE"""),"#DIV/0!")</f>
        <v>#DIV/0!</v>
      </c>
    </row>
    <row r="110" ht="15.75" customHeight="1">
      <c r="A110" s="1064">
        <f>IFERROR(__xludf.DUMMYFUNCTION("""COMPUTED_VALUE"""),105.0)</f>
        <v>105</v>
      </c>
      <c r="B110" s="1030"/>
      <c r="C110" s="768"/>
      <c r="D110" s="700"/>
      <c r="E110" s="1076"/>
      <c r="F110" s="1033">
        <f>IFERROR(__xludf.DUMMYFUNCTION("""COMPUTED_VALUE"""),0.0)</f>
        <v>0</v>
      </c>
      <c r="G110" s="1076"/>
      <c r="H110" s="1077"/>
      <c r="I110" s="1036">
        <f>IFERROR(__xludf.DUMMYFUNCTION("""COMPUTED_VALUE"""),14.0)</f>
        <v>14</v>
      </c>
      <c r="J110" s="1089"/>
      <c r="K110" s="1054"/>
      <c r="L110" s="1039">
        <f>IFERROR(__xludf.DUMMYFUNCTION("""COMPUTED_VALUE"""),223.0)</f>
        <v>223</v>
      </c>
      <c r="M110" s="1055"/>
      <c r="N110" s="1041"/>
      <c r="O110" s="1042">
        <f>IFERROR(__xludf.DUMMYFUNCTION("""COMPUTED_VALUE"""),0.0)</f>
        <v>0</v>
      </c>
      <c r="P110" s="1058"/>
      <c r="Q110" s="1059"/>
      <c r="R110" s="1044">
        <f>IFERROR(__xludf.DUMMYFUNCTION("""COMPUTED_VALUE"""),2.0)</f>
        <v>2</v>
      </c>
      <c r="S110" s="1059"/>
      <c r="T110" s="1045"/>
      <c r="U110" s="1045" t="str">
        <f>IFERROR(__xludf.DUMMYFUNCTION("""COMPUTED_VALUE"""),"#VALUE!")</f>
        <v>#VALUE!</v>
      </c>
      <c r="V110" s="1090"/>
      <c r="W110" s="1060"/>
      <c r="X110" s="1048" t="str">
        <f>IFERROR(__xludf.DUMMYFUNCTION("""COMPUTED_VALUE"""),"#N/A")</f>
        <v>#N/A</v>
      </c>
      <c r="Y110" s="1091"/>
      <c r="Z110" s="1047"/>
      <c r="AA110" s="1050">
        <f>IFERROR(__xludf.DUMMYFUNCTION("""COMPUTED_VALUE"""),8.0)</f>
        <v>8</v>
      </c>
      <c r="AB110" s="1056" t="str">
        <f>IFERROR(__xludf.DUMMYFUNCTION("""COMPUTED_VALUE"""),"#DIV/0!")</f>
        <v>#DIV/0!</v>
      </c>
    </row>
    <row r="111" ht="15.75" customHeight="1">
      <c r="A111" s="1030">
        <f>IFERROR(__xludf.DUMMYFUNCTION("""COMPUTED_VALUE"""),106.0)</f>
        <v>106</v>
      </c>
      <c r="B111" s="1030"/>
      <c r="C111" s="768"/>
      <c r="D111" s="700"/>
      <c r="E111" s="1076"/>
      <c r="F111" s="1033">
        <f>IFERROR(__xludf.DUMMYFUNCTION("""COMPUTED_VALUE"""),0.0)</f>
        <v>0</v>
      </c>
      <c r="G111" s="1076"/>
      <c r="H111" s="1077"/>
      <c r="I111" s="1036">
        <f>IFERROR(__xludf.DUMMYFUNCTION("""COMPUTED_VALUE"""),14.0)</f>
        <v>14</v>
      </c>
      <c r="J111" s="1089"/>
      <c r="K111" s="1054"/>
      <c r="L111" s="1039">
        <f>IFERROR(__xludf.DUMMYFUNCTION("""COMPUTED_VALUE"""),223.0)</f>
        <v>223</v>
      </c>
      <c r="M111" s="1055"/>
      <c r="N111" s="1041"/>
      <c r="O111" s="1042">
        <f>IFERROR(__xludf.DUMMYFUNCTION("""COMPUTED_VALUE"""),0.0)</f>
        <v>0</v>
      </c>
      <c r="P111" s="1058"/>
      <c r="Q111" s="1059"/>
      <c r="R111" s="1044">
        <f>IFERROR(__xludf.DUMMYFUNCTION("""COMPUTED_VALUE"""),2.0)</f>
        <v>2</v>
      </c>
      <c r="S111" s="1059"/>
      <c r="T111" s="1045"/>
      <c r="U111" s="1045" t="str">
        <f>IFERROR(__xludf.DUMMYFUNCTION("""COMPUTED_VALUE"""),"#VALUE!")</f>
        <v>#VALUE!</v>
      </c>
      <c r="V111" s="1090"/>
      <c r="W111" s="1060"/>
      <c r="X111" s="1048" t="str">
        <f>IFERROR(__xludf.DUMMYFUNCTION("""COMPUTED_VALUE"""),"#N/A")</f>
        <v>#N/A</v>
      </c>
      <c r="Y111" s="1091"/>
      <c r="Z111" s="1047"/>
      <c r="AA111" s="1050">
        <f>IFERROR(__xludf.DUMMYFUNCTION("""COMPUTED_VALUE"""),8.0)</f>
        <v>8</v>
      </c>
      <c r="AB111" s="1056" t="str">
        <f>IFERROR(__xludf.DUMMYFUNCTION("""COMPUTED_VALUE"""),"#DIV/0!")</f>
        <v>#DIV/0!</v>
      </c>
    </row>
    <row r="112" ht="15.75" customHeight="1">
      <c r="A112" s="1064">
        <f>IFERROR(__xludf.DUMMYFUNCTION("""COMPUTED_VALUE"""),107.0)</f>
        <v>107</v>
      </c>
      <c r="B112" s="1030"/>
      <c r="C112" s="768"/>
      <c r="D112" s="716"/>
      <c r="E112" s="1076"/>
      <c r="F112" s="1033">
        <f>IFERROR(__xludf.DUMMYFUNCTION("""COMPUTED_VALUE"""),0.0)</f>
        <v>0</v>
      </c>
      <c r="G112" s="1076"/>
      <c r="H112" s="1077"/>
      <c r="I112" s="1036">
        <f>IFERROR(__xludf.DUMMYFUNCTION("""COMPUTED_VALUE"""),14.0)</f>
        <v>14</v>
      </c>
      <c r="J112" s="1089"/>
      <c r="K112" s="1054"/>
      <c r="L112" s="1039">
        <f>IFERROR(__xludf.DUMMYFUNCTION("""COMPUTED_VALUE"""),223.0)</f>
        <v>223</v>
      </c>
      <c r="M112" s="1055"/>
      <c r="N112" s="1041"/>
      <c r="O112" s="1042">
        <f>IFERROR(__xludf.DUMMYFUNCTION("""COMPUTED_VALUE"""),0.0)</f>
        <v>0</v>
      </c>
      <c r="P112" s="1058"/>
      <c r="Q112" s="1059"/>
      <c r="R112" s="1044">
        <f>IFERROR(__xludf.DUMMYFUNCTION("""COMPUTED_VALUE"""),2.0)</f>
        <v>2</v>
      </c>
      <c r="S112" s="1059"/>
      <c r="T112" s="1045"/>
      <c r="U112" s="1045" t="str">
        <f>IFERROR(__xludf.DUMMYFUNCTION("""COMPUTED_VALUE"""),"#VALUE!")</f>
        <v>#VALUE!</v>
      </c>
      <c r="V112" s="1090"/>
      <c r="W112" s="1060"/>
      <c r="X112" s="1048" t="str">
        <f>IFERROR(__xludf.DUMMYFUNCTION("""COMPUTED_VALUE"""),"#N/A")</f>
        <v>#N/A</v>
      </c>
      <c r="Y112" s="1091"/>
      <c r="Z112" s="1047"/>
      <c r="AA112" s="1050">
        <f>IFERROR(__xludf.DUMMYFUNCTION("""COMPUTED_VALUE"""),8.0)</f>
        <v>8</v>
      </c>
      <c r="AB112" s="1056" t="str">
        <f>IFERROR(__xludf.DUMMYFUNCTION("""COMPUTED_VALUE"""),"#DIV/0!")</f>
        <v>#DIV/0!</v>
      </c>
    </row>
    <row r="113" ht="15.75" customHeight="1">
      <c r="A113" s="1030">
        <f>IFERROR(__xludf.DUMMYFUNCTION("""COMPUTED_VALUE"""),108.0)</f>
        <v>108</v>
      </c>
      <c r="B113" s="1030"/>
      <c r="C113" s="768"/>
      <c r="D113" s="716"/>
      <c r="E113" s="1034"/>
      <c r="F113" s="1033">
        <f>IFERROR(__xludf.DUMMYFUNCTION("""COMPUTED_VALUE"""),0.0)</f>
        <v>0</v>
      </c>
      <c r="G113" s="1034"/>
      <c r="H113" s="1057"/>
      <c r="I113" s="1094">
        <f>IFERROR(__xludf.DUMMYFUNCTION("""COMPUTED_VALUE"""),0.0)</f>
        <v>0</v>
      </c>
      <c r="J113" s="1037"/>
      <c r="K113" s="1054"/>
      <c r="L113" s="1039">
        <f>IFERROR(__xludf.DUMMYFUNCTION("""COMPUTED_VALUE"""),223.0)</f>
        <v>223</v>
      </c>
      <c r="M113" s="1040"/>
      <c r="N113" s="1079"/>
      <c r="O113" s="1042">
        <f>IFERROR(__xludf.DUMMYFUNCTION("""COMPUTED_VALUE"""),0.0)</f>
        <v>0</v>
      </c>
      <c r="P113" s="1084"/>
      <c r="Q113" s="1085"/>
      <c r="R113" s="1044">
        <f>IFERROR(__xludf.DUMMYFUNCTION("""COMPUTED_VALUE"""),2.0)</f>
        <v>2</v>
      </c>
      <c r="S113" s="1085"/>
      <c r="T113" s="1045"/>
      <c r="U113" s="1045" t="str">
        <f>IFERROR(__xludf.DUMMYFUNCTION("""COMPUTED_VALUE"""),"#VALUE!")</f>
        <v>#VALUE!</v>
      </c>
      <c r="V113" s="1046"/>
      <c r="W113" s="1086"/>
      <c r="X113" s="1048" t="str">
        <f>IFERROR(__xludf.DUMMYFUNCTION("""COMPUTED_VALUE"""),"#N/A")</f>
        <v>#N/A</v>
      </c>
      <c r="Y113" s="1087"/>
      <c r="Z113" s="1047"/>
      <c r="AA113" s="1050">
        <f>IFERROR(__xludf.DUMMYFUNCTION("""COMPUTED_VALUE"""),8.0)</f>
        <v>8</v>
      </c>
      <c r="AB113" s="1051" t="str">
        <f>IFERROR(__xludf.DUMMYFUNCTION("""COMPUTED_VALUE"""),"#DIV/0!")</f>
        <v>#DIV/0!</v>
      </c>
    </row>
    <row r="114" ht="15.75" customHeight="1">
      <c r="A114" s="1064">
        <f>IFERROR(__xludf.DUMMYFUNCTION("""COMPUTED_VALUE"""),109.0)</f>
        <v>109</v>
      </c>
      <c r="B114" s="165"/>
      <c r="C114" s="768"/>
      <c r="D114" s="700"/>
      <c r="E114" s="1034"/>
      <c r="F114" s="1033">
        <f>IFERROR(__xludf.DUMMYFUNCTION("""COMPUTED_VALUE"""),0.0)</f>
        <v>0</v>
      </c>
      <c r="G114" s="1034"/>
      <c r="H114" s="1057"/>
      <c r="I114" s="1094">
        <f>IFERROR(__xludf.DUMMYFUNCTION("""COMPUTED_VALUE"""),0.0)</f>
        <v>0</v>
      </c>
      <c r="J114" s="1037"/>
      <c r="K114" s="1054"/>
      <c r="L114" s="1039">
        <f>IFERROR(__xludf.DUMMYFUNCTION("""COMPUTED_VALUE"""),223.0)</f>
        <v>223</v>
      </c>
      <c r="M114" s="1040"/>
      <c r="N114" s="1079"/>
      <c r="O114" s="1042">
        <f>IFERROR(__xludf.DUMMYFUNCTION("""COMPUTED_VALUE"""),0.0)</f>
        <v>0</v>
      </c>
      <c r="P114" s="1084"/>
      <c r="Q114" s="1085"/>
      <c r="R114" s="1044">
        <f>IFERROR(__xludf.DUMMYFUNCTION("""COMPUTED_VALUE"""),2.0)</f>
        <v>2</v>
      </c>
      <c r="S114" s="1085"/>
      <c r="T114" s="1045"/>
      <c r="U114" s="1045" t="str">
        <f>IFERROR(__xludf.DUMMYFUNCTION("""COMPUTED_VALUE"""),"#VALUE!")</f>
        <v>#VALUE!</v>
      </c>
      <c r="V114" s="1046"/>
      <c r="W114" s="1086"/>
      <c r="X114" s="1048" t="str">
        <f>IFERROR(__xludf.DUMMYFUNCTION("""COMPUTED_VALUE"""),"#N/A")</f>
        <v>#N/A</v>
      </c>
      <c r="Y114" s="1087"/>
      <c r="Z114" s="1047"/>
      <c r="AA114" s="1050">
        <f>IFERROR(__xludf.DUMMYFUNCTION("""COMPUTED_VALUE"""),8.0)</f>
        <v>8</v>
      </c>
      <c r="AB114" s="1051" t="str">
        <f>IFERROR(__xludf.DUMMYFUNCTION("""COMPUTED_VALUE"""),"#DIV/0!")</f>
        <v>#DIV/0!</v>
      </c>
    </row>
    <row r="115" ht="15.75" customHeight="1">
      <c r="A115" s="1030">
        <f>IFERROR(__xludf.DUMMYFUNCTION("""COMPUTED_VALUE"""),110.0)</f>
        <v>110</v>
      </c>
      <c r="B115" s="165"/>
      <c r="C115" s="768"/>
      <c r="D115" s="700"/>
      <c r="E115" s="1034"/>
      <c r="F115" s="1033">
        <f>IFERROR(__xludf.DUMMYFUNCTION("""COMPUTED_VALUE"""),0.0)</f>
        <v>0</v>
      </c>
      <c r="G115" s="1034"/>
      <c r="H115" s="1057"/>
      <c r="I115" s="1094">
        <f>IFERROR(__xludf.DUMMYFUNCTION("""COMPUTED_VALUE"""),0.0)</f>
        <v>0</v>
      </c>
      <c r="J115" s="1037"/>
      <c r="K115" s="1054"/>
      <c r="L115" s="1039">
        <f>IFERROR(__xludf.DUMMYFUNCTION("""COMPUTED_VALUE"""),223.0)</f>
        <v>223</v>
      </c>
      <c r="M115" s="1040"/>
      <c r="N115" s="1079"/>
      <c r="O115" s="1042">
        <f>IFERROR(__xludf.DUMMYFUNCTION("""COMPUTED_VALUE"""),0.0)</f>
        <v>0</v>
      </c>
      <c r="P115" s="1084"/>
      <c r="Q115" s="1085"/>
      <c r="R115" s="1044">
        <f>IFERROR(__xludf.DUMMYFUNCTION("""COMPUTED_VALUE"""),2.0)</f>
        <v>2</v>
      </c>
      <c r="S115" s="1085"/>
      <c r="T115" s="1045"/>
      <c r="U115" s="1045" t="str">
        <f>IFERROR(__xludf.DUMMYFUNCTION("""COMPUTED_VALUE"""),"#VALUE!")</f>
        <v>#VALUE!</v>
      </c>
      <c r="V115" s="1046"/>
      <c r="W115" s="1086"/>
      <c r="X115" s="1048" t="str">
        <f>IFERROR(__xludf.DUMMYFUNCTION("""COMPUTED_VALUE"""),"#N/A")</f>
        <v>#N/A</v>
      </c>
      <c r="Y115" s="1087"/>
      <c r="Z115" s="1047"/>
      <c r="AA115" s="1050">
        <f>IFERROR(__xludf.DUMMYFUNCTION("""COMPUTED_VALUE"""),8.0)</f>
        <v>8</v>
      </c>
      <c r="AB115" s="1051" t="str">
        <f>IFERROR(__xludf.DUMMYFUNCTION("""COMPUTED_VALUE"""),"#DIV/0!")</f>
        <v>#DIV/0!</v>
      </c>
    </row>
    <row r="116" ht="15.75" customHeight="1">
      <c r="A116" s="1064">
        <f>IFERROR(__xludf.DUMMYFUNCTION("""COMPUTED_VALUE"""),111.0)</f>
        <v>111</v>
      </c>
      <c r="B116" s="165"/>
      <c r="C116" s="768"/>
      <c r="D116" s="716"/>
      <c r="E116" s="1034"/>
      <c r="F116" s="1033">
        <f>IFERROR(__xludf.DUMMYFUNCTION("""COMPUTED_VALUE"""),0.0)</f>
        <v>0</v>
      </c>
      <c r="G116" s="1034"/>
      <c r="H116" s="1057"/>
      <c r="I116" s="1094">
        <f>IFERROR(__xludf.DUMMYFUNCTION("""COMPUTED_VALUE"""),0.0)</f>
        <v>0</v>
      </c>
      <c r="J116" s="1037"/>
      <c r="K116" s="1054"/>
      <c r="L116" s="1039">
        <f>IFERROR(__xludf.DUMMYFUNCTION("""COMPUTED_VALUE"""),223.0)</f>
        <v>223</v>
      </c>
      <c r="M116" s="1040"/>
      <c r="N116" s="1079"/>
      <c r="O116" s="1042">
        <f>IFERROR(__xludf.DUMMYFUNCTION("""COMPUTED_VALUE"""),0.0)</f>
        <v>0</v>
      </c>
      <c r="P116" s="1084"/>
      <c r="Q116" s="1085"/>
      <c r="R116" s="1044">
        <f>IFERROR(__xludf.DUMMYFUNCTION("""COMPUTED_VALUE"""),2.0)</f>
        <v>2</v>
      </c>
      <c r="S116" s="1085"/>
      <c r="T116" s="1045"/>
      <c r="U116" s="1045" t="str">
        <f>IFERROR(__xludf.DUMMYFUNCTION("""COMPUTED_VALUE"""),"#VALUE!")</f>
        <v>#VALUE!</v>
      </c>
      <c r="V116" s="1046"/>
      <c r="W116" s="1086"/>
      <c r="X116" s="1048" t="str">
        <f>IFERROR(__xludf.DUMMYFUNCTION("""COMPUTED_VALUE"""),"#N/A")</f>
        <v>#N/A</v>
      </c>
      <c r="Y116" s="1087"/>
      <c r="Z116" s="1047"/>
      <c r="AA116" s="1050">
        <f>IFERROR(__xludf.DUMMYFUNCTION("""COMPUTED_VALUE"""),8.0)</f>
        <v>8</v>
      </c>
      <c r="AB116" s="1051" t="str">
        <f>IFERROR(__xludf.DUMMYFUNCTION("""COMPUTED_VALUE"""),"#DIV/0!")</f>
        <v>#DIV/0!</v>
      </c>
    </row>
    <row r="117" ht="15.75" customHeight="1">
      <c r="A117" s="1030">
        <f>IFERROR(__xludf.DUMMYFUNCTION("""COMPUTED_VALUE"""),112.0)</f>
        <v>112</v>
      </c>
      <c r="B117" s="165"/>
      <c r="C117" s="768"/>
      <c r="D117" s="716"/>
      <c r="E117" s="1034"/>
      <c r="F117" s="1033">
        <f>IFERROR(__xludf.DUMMYFUNCTION("""COMPUTED_VALUE"""),0.0)</f>
        <v>0</v>
      </c>
      <c r="G117" s="1034"/>
      <c r="H117" s="1057"/>
      <c r="I117" s="1094">
        <f>IFERROR(__xludf.DUMMYFUNCTION("""COMPUTED_VALUE"""),0.0)</f>
        <v>0</v>
      </c>
      <c r="J117" s="1037"/>
      <c r="K117" s="1054"/>
      <c r="L117" s="1039">
        <f>IFERROR(__xludf.DUMMYFUNCTION("""COMPUTED_VALUE"""),223.0)</f>
        <v>223</v>
      </c>
      <c r="M117" s="1040"/>
      <c r="N117" s="1079"/>
      <c r="O117" s="1042">
        <f>IFERROR(__xludf.DUMMYFUNCTION("""COMPUTED_VALUE"""),0.0)</f>
        <v>0</v>
      </c>
      <c r="P117" s="1084"/>
      <c r="Q117" s="1085"/>
      <c r="R117" s="1044">
        <f>IFERROR(__xludf.DUMMYFUNCTION("""COMPUTED_VALUE"""),2.0)</f>
        <v>2</v>
      </c>
      <c r="S117" s="1085"/>
      <c r="T117" s="1045"/>
      <c r="U117" s="1045" t="str">
        <f>IFERROR(__xludf.DUMMYFUNCTION("""COMPUTED_VALUE"""),"#VALUE!")</f>
        <v>#VALUE!</v>
      </c>
      <c r="V117" s="1046"/>
      <c r="W117" s="1086"/>
      <c r="X117" s="1048" t="str">
        <f>IFERROR(__xludf.DUMMYFUNCTION("""COMPUTED_VALUE"""),"#N/A")</f>
        <v>#N/A</v>
      </c>
      <c r="Y117" s="1087"/>
      <c r="Z117" s="1047"/>
      <c r="AA117" s="1050">
        <f>IFERROR(__xludf.DUMMYFUNCTION("""COMPUTED_VALUE"""),8.0)</f>
        <v>8</v>
      </c>
      <c r="AB117" s="1051" t="str">
        <f>IFERROR(__xludf.DUMMYFUNCTION("""COMPUTED_VALUE"""),"#DIV/0!")</f>
        <v>#DIV/0!</v>
      </c>
    </row>
    <row r="118" ht="15.75" customHeight="1">
      <c r="A118" s="1064">
        <f>IFERROR(__xludf.DUMMYFUNCTION("""COMPUTED_VALUE"""),113.0)</f>
        <v>113</v>
      </c>
      <c r="B118" s="165"/>
      <c r="C118" s="768"/>
      <c r="D118" s="716"/>
      <c r="E118" s="1034"/>
      <c r="F118" s="1033">
        <f>IFERROR(__xludf.DUMMYFUNCTION("""COMPUTED_VALUE"""),0.0)</f>
        <v>0</v>
      </c>
      <c r="G118" s="1034"/>
      <c r="H118" s="1057"/>
      <c r="I118" s="1094">
        <f>IFERROR(__xludf.DUMMYFUNCTION("""COMPUTED_VALUE"""),0.0)</f>
        <v>0</v>
      </c>
      <c r="J118" s="1037"/>
      <c r="K118" s="1054"/>
      <c r="L118" s="1039">
        <f>IFERROR(__xludf.DUMMYFUNCTION("""COMPUTED_VALUE"""),223.0)</f>
        <v>223</v>
      </c>
      <c r="M118" s="1040"/>
      <c r="N118" s="1079"/>
      <c r="O118" s="1042">
        <f>IFERROR(__xludf.DUMMYFUNCTION("""COMPUTED_VALUE"""),0.0)</f>
        <v>0</v>
      </c>
      <c r="P118" s="1084"/>
      <c r="Q118" s="1085"/>
      <c r="R118" s="1044">
        <f>IFERROR(__xludf.DUMMYFUNCTION("""COMPUTED_VALUE"""),2.0)</f>
        <v>2</v>
      </c>
      <c r="S118" s="1085"/>
      <c r="T118" s="1045"/>
      <c r="U118" s="1045" t="str">
        <f>IFERROR(__xludf.DUMMYFUNCTION("""COMPUTED_VALUE"""),"#VALUE!")</f>
        <v>#VALUE!</v>
      </c>
      <c r="V118" s="1046"/>
      <c r="W118" s="1086"/>
      <c r="X118" s="1048" t="str">
        <f>IFERROR(__xludf.DUMMYFUNCTION("""COMPUTED_VALUE"""),"#N/A")</f>
        <v>#N/A</v>
      </c>
      <c r="Y118" s="1087"/>
      <c r="Z118" s="1047"/>
      <c r="AA118" s="1050">
        <f>IFERROR(__xludf.DUMMYFUNCTION("""COMPUTED_VALUE"""),8.0)</f>
        <v>8</v>
      </c>
      <c r="AB118" s="1051" t="str">
        <f>IFERROR(__xludf.DUMMYFUNCTION("""COMPUTED_VALUE"""),"#DIV/0!")</f>
        <v>#DIV/0!</v>
      </c>
    </row>
    <row r="119" ht="15.75" customHeight="1">
      <c r="A119" s="1030">
        <f>IFERROR(__xludf.DUMMYFUNCTION("""COMPUTED_VALUE"""),114.0)</f>
        <v>114</v>
      </c>
      <c r="B119" s="165"/>
      <c r="C119" s="768"/>
      <c r="D119" s="700"/>
      <c r="E119" s="1034"/>
      <c r="F119" s="1033">
        <f>IFERROR(__xludf.DUMMYFUNCTION("""COMPUTED_VALUE"""),0.0)</f>
        <v>0</v>
      </c>
      <c r="G119" s="1034"/>
      <c r="H119" s="1057"/>
      <c r="I119" s="1094">
        <f>IFERROR(__xludf.DUMMYFUNCTION("""COMPUTED_VALUE"""),0.0)</f>
        <v>0</v>
      </c>
      <c r="J119" s="1037"/>
      <c r="K119" s="1054"/>
      <c r="L119" s="1039">
        <f>IFERROR(__xludf.DUMMYFUNCTION("""COMPUTED_VALUE"""),223.0)</f>
        <v>223</v>
      </c>
      <c r="M119" s="1040"/>
      <c r="N119" s="1079"/>
      <c r="O119" s="1042">
        <f>IFERROR(__xludf.DUMMYFUNCTION("""COMPUTED_VALUE"""),0.0)</f>
        <v>0</v>
      </c>
      <c r="P119" s="1084"/>
      <c r="Q119" s="1085"/>
      <c r="R119" s="1044">
        <f>IFERROR(__xludf.DUMMYFUNCTION("""COMPUTED_VALUE"""),2.0)</f>
        <v>2</v>
      </c>
      <c r="S119" s="1085"/>
      <c r="T119" s="1045"/>
      <c r="U119" s="1045" t="str">
        <f>IFERROR(__xludf.DUMMYFUNCTION("""COMPUTED_VALUE"""),"#VALUE!")</f>
        <v>#VALUE!</v>
      </c>
      <c r="V119" s="1046"/>
      <c r="W119" s="1086"/>
      <c r="X119" s="1048" t="str">
        <f>IFERROR(__xludf.DUMMYFUNCTION("""COMPUTED_VALUE"""),"#N/A")</f>
        <v>#N/A</v>
      </c>
      <c r="Y119" s="1087"/>
      <c r="Z119" s="1047"/>
      <c r="AA119" s="1050">
        <f>IFERROR(__xludf.DUMMYFUNCTION("""COMPUTED_VALUE"""),8.0)</f>
        <v>8</v>
      </c>
      <c r="AB119" s="1051" t="str">
        <f>IFERROR(__xludf.DUMMYFUNCTION("""COMPUTED_VALUE"""),"#DIV/0!")</f>
        <v>#DIV/0!</v>
      </c>
    </row>
    <row r="120" ht="15.75" customHeight="1">
      <c r="A120" s="165"/>
      <c r="C120" s="165"/>
      <c r="D120" s="1095"/>
      <c r="E120" s="1096"/>
      <c r="F120" s="1096">
        <f>IFERROR(__xludf.DUMMYFUNCTION("""COMPUTED_VALUE"""),0.0)</f>
        <v>0</v>
      </c>
      <c r="G120" s="1096"/>
      <c r="H120" s="1097"/>
      <c r="I120" s="1098">
        <f>IFERROR(__xludf.DUMMYFUNCTION("""COMPUTED_VALUE"""),500.0)</f>
        <v>500</v>
      </c>
      <c r="J120" s="1099"/>
      <c r="K120" s="1100"/>
      <c r="L120" s="1101">
        <f>IFERROR(__xludf.DUMMYFUNCTION("""COMPUTED_VALUE"""),49.0)</f>
        <v>49</v>
      </c>
      <c r="M120" s="1102"/>
      <c r="N120" s="1103"/>
      <c r="O120" s="1104">
        <f>IFERROR(__xludf.DUMMYFUNCTION("""COMPUTED_VALUE"""),1.0)</f>
        <v>1</v>
      </c>
      <c r="P120" s="1105"/>
      <c r="Q120" s="1106"/>
      <c r="R120" s="1107">
        <f>IFERROR(__xludf.DUMMYFUNCTION("""COMPUTED_VALUE"""),85.0)</f>
        <v>85</v>
      </c>
      <c r="S120" s="1108"/>
      <c r="T120" s="1109"/>
      <c r="U120" s="1110"/>
      <c r="V120" s="1111"/>
      <c r="W120" s="1112"/>
      <c r="X120" s="1113" t="str">
        <f>IFERROR(__xludf.DUMMYFUNCTION("""COMPUTED_VALUE"""),"#N/A")</f>
        <v>#N/A</v>
      </c>
      <c r="Y120" s="1114"/>
      <c r="Z120" s="1112"/>
      <c r="AA120" s="1115">
        <f>IFERROR(__xludf.DUMMYFUNCTION("""COMPUTED_VALUE"""),337.0)</f>
        <v>337</v>
      </c>
      <c r="AB120" s="1114" t="str">
        <f>IFERROR(__xludf.DUMMYFUNCTION("""COMPUTED_VALUE"""),"#DIV/0!")</f>
        <v>#DIV/0!</v>
      </c>
    </row>
    <row r="121" ht="15.75" customHeight="1"/>
    <row r="122" ht="15.75" customHeight="1"/>
    <row r="123" ht="15.75" customHeight="1">
      <c r="C123" s="1116" t="s">
        <v>953</v>
      </c>
    </row>
    <row r="124" ht="15.75" customHeight="1">
      <c r="C124" s="1117" t="s">
        <v>269</v>
      </c>
      <c r="L124" s="1118"/>
      <c r="M124" s="1118"/>
      <c r="N124" s="1118"/>
      <c r="O124" s="1119"/>
      <c r="P124" s="1120" t="s">
        <v>468</v>
      </c>
      <c r="Q124" s="216"/>
      <c r="R124" s="1120" t="s">
        <v>469</v>
      </c>
      <c r="S124" s="216"/>
    </row>
    <row r="125" ht="15.75" customHeight="1">
      <c r="C125" s="1121" t="s">
        <v>954</v>
      </c>
      <c r="D125" s="1122" t="s">
        <v>955</v>
      </c>
      <c r="E125" s="1122" t="s">
        <v>12</v>
      </c>
      <c r="F125" s="1122" t="s">
        <v>13</v>
      </c>
      <c r="G125" s="1122" t="s">
        <v>956</v>
      </c>
      <c r="H125" s="1122" t="s">
        <v>15</v>
      </c>
      <c r="I125" s="1122" t="s">
        <v>16</v>
      </c>
      <c r="L125" s="1123" t="s">
        <v>957</v>
      </c>
      <c r="M125" s="1124" t="s">
        <v>955</v>
      </c>
      <c r="N125" s="1124" t="s">
        <v>13</v>
      </c>
      <c r="O125" s="1124" t="s">
        <v>12</v>
      </c>
      <c r="P125" s="1124" t="s">
        <v>5</v>
      </c>
      <c r="Q125" s="1124" t="s">
        <v>471</v>
      </c>
      <c r="R125" s="1124" t="s">
        <v>5</v>
      </c>
      <c r="S125" s="1124" t="s">
        <v>958</v>
      </c>
    </row>
    <row r="126" ht="15.75" customHeight="1">
      <c r="C126" s="903" t="str">
        <f>IFERROR(__xludf.DUMMYFUNCTION("QUERY(PI!C6:T200, ""select E,F,P,Q,R,S,T where (G='""&amp;C124&amp;""' or H='""&amp;C124&amp;""' or I='""&amp;C124&amp;""' or J='""&amp;C124&amp;""' or K='""&amp;C124&amp;""' or L='""&amp;C124&amp;""' or M='""&amp;C124&amp;""' or N='""&amp;C124&amp;""') and C&lt;&gt;''"", 0)"),"#N/A")</f>
        <v>#N/A</v>
      </c>
      <c r="D126" s="903"/>
      <c r="E126" s="903"/>
      <c r="F126" s="903"/>
      <c r="G126" s="903"/>
      <c r="H126" s="903"/>
      <c r="I126" s="903"/>
      <c r="L126" s="903" t="str">
        <f>IFERROR(__xludf.DUMMYFUNCTION("QUERY(KI!$C$6:$U$200, ""select E,F,P,Q,R,S,T,U where (G='""&amp;$C$124&amp;""' or H='""&amp;$C$124&amp;""' or I='""&amp;$C$124&amp;""' or J='""&amp;$C$124&amp;""' or K='""&amp;$C$124&amp;""' or L='""&amp;$C$124&amp;""' or M='""&amp;$C$124&amp;""' or N='""&amp;$C$124&amp;""') and C&lt;&gt;''"", 0)"),"#N/A")</f>
        <v>#N/A</v>
      </c>
    </row>
    <row r="127" ht="15.75" customHeight="1">
      <c r="C127" s="903"/>
      <c r="D127" s="903"/>
      <c r="E127" s="903"/>
      <c r="F127" s="903"/>
      <c r="G127" s="903"/>
      <c r="H127" s="903"/>
      <c r="I127" s="903"/>
    </row>
    <row r="128" ht="15.75" customHeight="1">
      <c r="G128" s="903"/>
    </row>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sheetData>
  <autoFilter ref="$B$5:$D$119"/>
  <mergeCells count="10">
    <mergeCell ref="Q4:S4"/>
    <mergeCell ref="P124:Q124"/>
    <mergeCell ref="R124:S124"/>
    <mergeCell ref="E4:G4"/>
    <mergeCell ref="H4:J4"/>
    <mergeCell ref="K4:M4"/>
    <mergeCell ref="N4:P4"/>
    <mergeCell ref="T4:V4"/>
    <mergeCell ref="W4:Y4"/>
    <mergeCell ref="Z4:AB4"/>
  </mergeCells>
  <dataValidations>
    <dataValidation type="list" allowBlank="1" showErrorMessage="1" sqref="B6:B119">
      <formula1>kelris</formula1>
    </dataValidation>
    <dataValidation type="list" allowBlank="1" showErrorMessage="1" sqref="C124">
      <formula1>nmperiset</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3.33"/>
    <col customWidth="1" min="2" max="2" width="18.44"/>
    <col customWidth="1" min="3" max="3" width="14.56"/>
    <col customWidth="1" min="4" max="4" width="18.44"/>
    <col customWidth="1" min="5" max="6" width="11.22"/>
    <col customWidth="1" min="7" max="7" width="23.33"/>
  </cols>
  <sheetData>
    <row r="1">
      <c r="A1" s="1125" t="s">
        <v>959</v>
      </c>
      <c r="B1" s="1126"/>
      <c r="C1" s="1126"/>
      <c r="D1" s="1126"/>
      <c r="E1" s="1126"/>
      <c r="F1" s="1126"/>
      <c r="G1" s="1127" t="str">
        <f>"Date :"&amp;" "&amp;TEXT(TODAY(),"DD MMMM YYYY")</f>
        <v>Date : 19 Agustus 2024</v>
      </c>
      <c r="H1" s="1126"/>
      <c r="I1" s="1126"/>
      <c r="J1" s="1126"/>
      <c r="K1" s="1126"/>
      <c r="L1" s="1127" t="s">
        <v>955</v>
      </c>
      <c r="M1" s="1126"/>
      <c r="N1" s="1126"/>
      <c r="O1" s="1126"/>
      <c r="P1" s="1126"/>
      <c r="Q1" s="1126"/>
      <c r="R1" s="1126"/>
      <c r="S1" s="1126"/>
      <c r="T1" s="1126"/>
      <c r="U1" s="1126"/>
      <c r="V1" s="1126"/>
      <c r="W1" s="1126"/>
      <c r="X1" s="1126"/>
      <c r="Y1" s="1126"/>
      <c r="Z1" s="1126"/>
      <c r="AA1" s="1126"/>
    </row>
    <row r="2">
      <c r="A2" s="1127" t="str">
        <f>IFERROR(__xludf.DUMMYFUNCTION("IMPORTRANGE(""https://docs.google.com/spreadsheets/d/1k5dEibec4ivVVaBFzPOLHX-_Q0mX-3_HGTZB49knk78/edit"", ""Data Dashboard!A2:H71"")"),"Capaian PR")</f>
        <v>Capaian PR</v>
      </c>
      <c r="B2" s="1126"/>
      <c r="C2" s="1126"/>
      <c r="D2" s="1126"/>
      <c r="E2" s="1126"/>
      <c r="F2" s="1126"/>
      <c r="G2" s="1126"/>
      <c r="H2" s="1126"/>
      <c r="I2" s="1126"/>
      <c r="J2" s="1126"/>
      <c r="K2" s="1126"/>
      <c r="L2" s="1127" t="s">
        <v>960</v>
      </c>
      <c r="M2" s="1126"/>
      <c r="N2" s="1126"/>
      <c r="O2" s="1126"/>
      <c r="P2" s="1126"/>
      <c r="Q2" s="1126"/>
      <c r="R2" s="1126"/>
      <c r="S2" s="1126"/>
      <c r="T2" s="1126"/>
      <c r="U2" s="1126"/>
      <c r="V2" s="1126"/>
      <c r="W2" s="1126"/>
      <c r="X2" s="1126"/>
      <c r="Y2" s="1126"/>
      <c r="Z2" s="1126"/>
      <c r="AA2" s="1126"/>
    </row>
    <row r="3">
      <c r="A3" s="1127" t="str">
        <f>IFERROR(__xludf.DUMMYFUNCTION("""COMPUTED_VALUE"""),"Jenis Capaian")</f>
        <v>Jenis Capaian</v>
      </c>
      <c r="B3" s="1127" t="str">
        <f>IFERROR(__xludf.DUMMYFUNCTION("""COMPUTED_VALUE"""),"Target Capain")</f>
        <v>Target Capain</v>
      </c>
      <c r="C3" s="1127" t="str">
        <f>IFERROR(__xludf.DUMMYFUNCTION("""COMPUTED_VALUE"""),"Jumlah Capaian")</f>
        <v>Jumlah Capaian</v>
      </c>
      <c r="D3" s="1127" t="str">
        <f>IFERROR(__xludf.DUMMYFUNCTION("""COMPUTED_VALUE"""),"Percentase Capaian")</f>
        <v>Percentase Capaian</v>
      </c>
      <c r="E3" s="1126"/>
      <c r="F3" s="1126"/>
      <c r="G3" s="1126"/>
      <c r="H3" s="1126"/>
      <c r="I3" s="1126"/>
      <c r="J3" s="1126"/>
      <c r="K3" s="1126"/>
      <c r="L3" s="1126"/>
      <c r="M3" s="1126"/>
      <c r="N3" s="1126"/>
      <c r="O3" s="1126"/>
      <c r="P3" s="1126"/>
      <c r="Q3" s="1126"/>
      <c r="R3" s="1126"/>
      <c r="S3" s="1126"/>
      <c r="T3" s="1126"/>
      <c r="U3" s="1126"/>
      <c r="V3" s="1126"/>
      <c r="W3" s="1126"/>
      <c r="X3" s="1126"/>
      <c r="Y3" s="1126"/>
      <c r="Z3" s="1126"/>
      <c r="AA3" s="1126"/>
    </row>
    <row r="4">
      <c r="A4" s="1127" t="str">
        <f>IFERROR(__xludf.DUMMYFUNCTION("""COMPUTED_VALUE"""),"Purwarupa")</f>
        <v>Purwarupa</v>
      </c>
      <c r="B4" s="1128">
        <f>IFERROR(__xludf.DUMMYFUNCTION("""COMPUTED_VALUE"""),2.0)</f>
        <v>2</v>
      </c>
      <c r="C4" s="1128">
        <f>IFERROR(__xludf.DUMMYFUNCTION("""COMPUTED_VALUE"""),0.0)</f>
        <v>0</v>
      </c>
      <c r="D4" s="1129">
        <f>IFERROR(__xludf.DUMMYFUNCTION("""COMPUTED_VALUE"""),0.0)</f>
        <v>0</v>
      </c>
      <c r="E4" s="1126"/>
      <c r="F4" s="1126"/>
      <c r="G4" s="1128">
        <f>IFERROR(__xludf.DUMMYFUNCTION("""COMPUTED_VALUE"""),10.0)</f>
        <v>10</v>
      </c>
      <c r="H4" s="1126"/>
      <c r="I4" s="1126"/>
      <c r="J4" s="1126"/>
      <c r="K4" s="1126"/>
      <c r="L4" s="1126"/>
      <c r="M4" s="1126"/>
      <c r="N4" s="1126"/>
      <c r="O4" s="1126"/>
      <c r="P4" s="1126"/>
      <c r="Q4" s="1126"/>
      <c r="R4" s="1126"/>
      <c r="S4" s="1126"/>
      <c r="T4" s="1126"/>
      <c r="U4" s="1126"/>
      <c r="V4" s="1126"/>
      <c r="W4" s="1126"/>
      <c r="X4" s="1126"/>
      <c r="Y4" s="1126"/>
      <c r="Z4" s="1126"/>
      <c r="AA4" s="1126"/>
    </row>
    <row r="5">
      <c r="A5" s="1127" t="str">
        <f>IFERROR(__xludf.DUMMYFUNCTION("""COMPUTED_VALUE"""),"Kekayaan Intelektual")</f>
        <v>Kekayaan Intelektual</v>
      </c>
      <c r="B5" s="1128">
        <f>IFERROR(__xludf.DUMMYFUNCTION("""COMPUTED_VALUE"""),24.0)</f>
        <v>24</v>
      </c>
      <c r="C5" s="1128">
        <f>IFERROR(__xludf.DUMMYFUNCTION("""COMPUTED_VALUE"""),3.0)</f>
        <v>3</v>
      </c>
      <c r="D5" s="1129">
        <f>IFERROR(__xludf.DUMMYFUNCTION("""COMPUTED_VALUE"""),0.125)</f>
        <v>0.125</v>
      </c>
      <c r="E5" s="1126"/>
      <c r="F5" s="1126"/>
      <c r="G5" s="1128">
        <f>IFERROR(__xludf.DUMMYFUNCTION("""COMPUTED_VALUE"""),43.0)</f>
        <v>43</v>
      </c>
      <c r="H5" s="1126"/>
      <c r="I5" s="1126"/>
      <c r="J5" s="1126"/>
      <c r="K5" s="1126"/>
      <c r="L5" s="1126"/>
      <c r="M5" s="1126"/>
      <c r="N5" s="1126"/>
      <c r="O5" s="1126"/>
      <c r="P5" s="1126"/>
      <c r="Q5" s="1126"/>
      <c r="R5" s="1126"/>
      <c r="S5" s="1126"/>
      <c r="T5" s="1126"/>
      <c r="U5" s="1126"/>
      <c r="V5" s="1126"/>
      <c r="W5" s="1126"/>
      <c r="X5" s="1126"/>
      <c r="Y5" s="1126"/>
      <c r="Z5" s="1126"/>
      <c r="AA5" s="1126"/>
    </row>
    <row r="6">
      <c r="A6" s="1127" t="str">
        <f>IFERROR(__xludf.DUMMYFUNCTION("""COMPUTED_VALUE"""),"Publikasi Internasional")</f>
        <v>Publikasi Internasional</v>
      </c>
      <c r="B6" s="1128">
        <f>IFERROR(__xludf.DUMMYFUNCTION("""COMPUTED_VALUE"""),80.0)</f>
        <v>80</v>
      </c>
      <c r="C6" s="1128">
        <f>IFERROR(__xludf.DUMMYFUNCTION("""COMPUTED_VALUE"""),34.0)</f>
        <v>34</v>
      </c>
      <c r="D6" s="1129">
        <f>IFERROR(__xludf.DUMMYFUNCTION("""COMPUTED_VALUE"""),0.425)</f>
        <v>0.425</v>
      </c>
      <c r="E6" s="1126"/>
      <c r="F6" s="1126"/>
      <c r="G6" s="1128">
        <f>IFERROR(__xludf.DUMMYFUNCTION("""COMPUTED_VALUE"""),96.0)</f>
        <v>96</v>
      </c>
      <c r="H6" s="1126"/>
      <c r="I6" s="1126"/>
      <c r="J6" s="1126"/>
      <c r="K6" s="1126"/>
      <c r="L6" s="1126"/>
      <c r="M6" s="1126"/>
      <c r="N6" s="1126"/>
      <c r="O6" s="1126"/>
      <c r="P6" s="1126"/>
      <c r="Q6" s="1126"/>
      <c r="R6" s="1126"/>
      <c r="S6" s="1126"/>
      <c r="T6" s="1126"/>
      <c r="U6" s="1126"/>
      <c r="V6" s="1126"/>
      <c r="W6" s="1126"/>
      <c r="X6" s="1126"/>
      <c r="Y6" s="1126"/>
      <c r="Z6" s="1126"/>
      <c r="AA6" s="1126"/>
    </row>
    <row r="7">
      <c r="A7" s="1127" t="str">
        <f>IFERROR(__xludf.DUMMYFUNCTION("""COMPUTED_VALUE"""),"SDM Iptek")</f>
        <v>SDM Iptek</v>
      </c>
      <c r="B7" s="1128">
        <f>IFERROR(__xludf.DUMMYFUNCTION("""COMPUTED_VALUE"""),26.0)</f>
        <v>26</v>
      </c>
      <c r="C7" s="1128">
        <f>IFERROR(__xludf.DUMMYFUNCTION("""COMPUTED_VALUE"""),1.0)</f>
        <v>1</v>
      </c>
      <c r="D7" s="1129">
        <f>IFERROR(__xludf.DUMMYFUNCTION("""COMPUTED_VALUE"""),0.038461538461538464)</f>
        <v>0.03846153846</v>
      </c>
      <c r="E7" s="1126"/>
      <c r="F7" s="1126"/>
      <c r="G7" s="1128">
        <f>IFERROR(__xludf.DUMMYFUNCTION("""COMPUTED_VALUE"""),36.0)</f>
        <v>36</v>
      </c>
      <c r="H7" s="1126"/>
      <c r="I7" s="1126"/>
      <c r="J7" s="1126"/>
      <c r="K7" s="1126"/>
      <c r="L7" s="1126"/>
      <c r="M7" s="1126"/>
      <c r="N7" s="1126"/>
      <c r="O7" s="1126"/>
      <c r="P7" s="1126"/>
      <c r="Q7" s="1126"/>
      <c r="R7" s="1126"/>
      <c r="S7" s="1126"/>
      <c r="T7" s="1126"/>
      <c r="U7" s="1126"/>
      <c r="V7" s="1126"/>
      <c r="W7" s="1126"/>
      <c r="X7" s="1126"/>
      <c r="Y7" s="1126"/>
      <c r="Z7" s="1126"/>
      <c r="AA7" s="1126"/>
    </row>
    <row r="8">
      <c r="A8" s="1127" t="str">
        <f>IFERROR(__xludf.DUMMYFUNCTION("""COMPUTED_VALUE"""),"Postdoc/VR")</f>
        <v>Postdoc/VR</v>
      </c>
      <c r="B8" s="1128">
        <f>IFERROR(__xludf.DUMMYFUNCTION("""COMPUTED_VALUE"""),5.0)</f>
        <v>5</v>
      </c>
      <c r="C8" s="1128">
        <f>IFERROR(__xludf.DUMMYFUNCTION("""COMPUTED_VALUE"""),3.0)</f>
        <v>3</v>
      </c>
      <c r="D8" s="1129">
        <f>IFERROR(__xludf.DUMMYFUNCTION("""COMPUTED_VALUE"""),0.6)</f>
        <v>0.6</v>
      </c>
      <c r="E8" s="1126"/>
      <c r="F8" s="1126"/>
      <c r="G8" s="1128">
        <f>IFERROR(__xludf.DUMMYFUNCTION("""COMPUTED_VALUE"""),8.0)</f>
        <v>8</v>
      </c>
      <c r="H8" s="1126"/>
      <c r="I8" s="1126"/>
      <c r="J8" s="1126"/>
      <c r="K8" s="1126"/>
      <c r="L8" s="1126"/>
      <c r="M8" s="1126"/>
      <c r="N8" s="1126"/>
      <c r="O8" s="1126"/>
      <c r="P8" s="1126"/>
      <c r="Q8" s="1126"/>
      <c r="R8" s="1126"/>
      <c r="S8" s="1126"/>
      <c r="T8" s="1126"/>
      <c r="U8" s="1126"/>
      <c r="V8" s="1126"/>
      <c r="W8" s="1126"/>
      <c r="X8" s="1126"/>
      <c r="Y8" s="1126"/>
      <c r="Z8" s="1126"/>
      <c r="AA8" s="1126"/>
    </row>
    <row r="9">
      <c r="A9" s="1127" t="str">
        <f>IFERROR(__xludf.DUMMYFUNCTION("""COMPUTED_VALUE"""),"Kerjasama")</f>
        <v>Kerjasama</v>
      </c>
      <c r="B9" s="1128">
        <f>IFERROR(__xludf.DUMMYFUNCTION("""COMPUTED_VALUE"""),17.0)</f>
        <v>17</v>
      </c>
      <c r="C9" s="1128">
        <f>IFERROR(__xludf.DUMMYFUNCTION("""COMPUTED_VALUE"""),5.0)</f>
        <v>5</v>
      </c>
      <c r="D9" s="1129">
        <f>IFERROR(__xludf.DUMMYFUNCTION("""COMPUTED_VALUE"""),0.29411764705882354)</f>
        <v>0.2941176471</v>
      </c>
      <c r="E9" s="1126"/>
      <c r="F9" s="1126"/>
      <c r="G9" s="1128">
        <f>IFERROR(__xludf.DUMMYFUNCTION("""COMPUTED_VALUE"""),14.0)</f>
        <v>14</v>
      </c>
      <c r="H9" s="1126"/>
      <c r="I9" s="1126"/>
      <c r="J9" s="1126"/>
      <c r="K9" s="1126"/>
      <c r="L9" s="1126"/>
      <c r="M9" s="1126"/>
      <c r="N9" s="1126"/>
      <c r="O9" s="1126"/>
      <c r="P9" s="1126"/>
      <c r="Q9" s="1126"/>
      <c r="R9" s="1126"/>
      <c r="S9" s="1126"/>
      <c r="T9" s="1126"/>
      <c r="U9" s="1126"/>
      <c r="V9" s="1126"/>
      <c r="W9" s="1126"/>
      <c r="X9" s="1126"/>
      <c r="Y9" s="1126"/>
      <c r="Z9" s="1126"/>
      <c r="AA9" s="1126"/>
    </row>
    <row r="10">
      <c r="A10" s="1127" t="str">
        <f>IFERROR(__xludf.DUMMYFUNCTION("""COMPUTED_VALUE"""),"Dana Eksternal")</f>
        <v>Dana Eksternal</v>
      </c>
      <c r="B10" s="1130">
        <f>IFERROR(__xludf.DUMMYFUNCTION("""COMPUTED_VALUE"""),2.2E9)</f>
        <v>2200000000</v>
      </c>
      <c r="C10" s="1130">
        <f>IFERROR(__xludf.DUMMYFUNCTION("""COMPUTED_VALUE"""),5.569E8)</f>
        <v>556900000</v>
      </c>
      <c r="D10" s="1129">
        <f>IFERROR(__xludf.DUMMYFUNCTION("""COMPUTED_VALUE"""),0.25313636363636366)</f>
        <v>0.2531363636</v>
      </c>
      <c r="E10" s="1131"/>
      <c r="F10" s="1126"/>
      <c r="G10" s="1126"/>
      <c r="H10" s="1126"/>
      <c r="I10" s="1126"/>
      <c r="J10" s="1126"/>
      <c r="K10" s="1126"/>
      <c r="L10" s="1126"/>
      <c r="M10" s="1126"/>
      <c r="N10" s="1126"/>
      <c r="O10" s="1126"/>
      <c r="P10" s="1126"/>
      <c r="Q10" s="1126"/>
      <c r="R10" s="1126"/>
      <c r="S10" s="1126"/>
      <c r="T10" s="1126"/>
      <c r="U10" s="1126"/>
      <c r="V10" s="1126"/>
      <c r="W10" s="1126"/>
      <c r="X10" s="1126"/>
      <c r="Y10" s="1126"/>
      <c r="Z10" s="1126"/>
      <c r="AA10" s="1126"/>
    </row>
    <row r="11">
      <c r="A11" s="1127" t="str">
        <f>IFERROR(__xludf.DUMMYFUNCTION("""COMPUTED_VALUE"""),"Dana Eksternal")</f>
        <v>Dana Eksternal</v>
      </c>
      <c r="B11" s="1130">
        <f>IFERROR(__xludf.DUMMYFUNCTION("""COMPUTED_VALUE"""),2.2E9)</f>
        <v>2200000000</v>
      </c>
      <c r="C11" s="1130">
        <f>IFERROR(__xludf.DUMMYFUNCTION("""COMPUTED_VALUE"""),5.569E8)</f>
        <v>556900000</v>
      </c>
      <c r="D11" s="1126"/>
      <c r="E11" s="1126"/>
      <c r="F11" s="1127" t="str">
        <f>IFERROR(__xludf.DUMMYFUNCTION("""COMPUTED_VALUE"""),"Dalam Negeri")</f>
        <v>Dalam Negeri</v>
      </c>
      <c r="G11" s="1132">
        <f>IFERROR(__xludf.DUMMYFUNCTION("""COMPUTED_VALUE"""),5.2E8)</f>
        <v>520000000</v>
      </c>
      <c r="H11" s="1126"/>
      <c r="I11" s="1126"/>
      <c r="J11" s="1126"/>
      <c r="K11" s="1126"/>
      <c r="L11" s="1126"/>
      <c r="M11" s="1126"/>
      <c r="N11" s="1126"/>
      <c r="O11" s="1126"/>
      <c r="P11" s="1126"/>
      <c r="Q11" s="1126"/>
      <c r="R11" s="1126"/>
      <c r="S11" s="1126"/>
      <c r="T11" s="1126"/>
      <c r="U11" s="1126"/>
      <c r="V11" s="1126"/>
      <c r="W11" s="1126"/>
      <c r="X11" s="1126"/>
      <c r="Y11" s="1126"/>
      <c r="Z11" s="1126"/>
      <c r="AA11" s="1126"/>
    </row>
    <row r="12">
      <c r="A12" s="1127" t="str">
        <f>IFERROR(__xludf.DUMMYFUNCTION("""COMPUTED_VALUE"""),"Target PR")</f>
        <v>Target PR</v>
      </c>
      <c r="B12" s="1127"/>
      <c r="C12" s="1128" t="str">
        <f>IFERROR(__xludf.DUMMYFUNCTION("""COMPUTED_VALUE"""),"Real PR")</f>
        <v>Real PR</v>
      </c>
      <c r="D12" s="1126"/>
      <c r="E12" s="1126"/>
      <c r="F12" s="1127" t="str">
        <f>IFERROR(__xludf.DUMMYFUNCTION("""COMPUTED_VALUE"""),"Luar Negeri")</f>
        <v>Luar Negeri</v>
      </c>
      <c r="G12" s="1132">
        <f>IFERROR(__xludf.DUMMYFUNCTION("""COMPUTED_VALUE"""),0.0)</f>
        <v>0</v>
      </c>
      <c r="H12" s="1126"/>
      <c r="I12" s="1126"/>
      <c r="J12" s="1126"/>
      <c r="K12" s="1126"/>
      <c r="L12" s="1126"/>
      <c r="M12" s="1126"/>
      <c r="N12" s="1126"/>
      <c r="O12" s="1126"/>
      <c r="P12" s="1126"/>
      <c r="Q12" s="1126"/>
      <c r="R12" s="1126"/>
      <c r="S12" s="1126"/>
      <c r="T12" s="1126"/>
      <c r="U12" s="1126"/>
      <c r="V12" s="1126"/>
      <c r="W12" s="1126"/>
      <c r="X12" s="1126"/>
      <c r="Y12" s="1126"/>
      <c r="Z12" s="1126"/>
      <c r="AA12" s="1126"/>
    </row>
    <row r="13">
      <c r="A13" s="1127" t="str">
        <f>IFERROR(__xludf.DUMMYFUNCTION("""COMPUTED_VALUE"""),"Capaian PR")</f>
        <v>Capaian PR</v>
      </c>
      <c r="B13" s="1133">
        <f>IFERROR(__xludf.DUMMYFUNCTION("""COMPUTED_VALUE"""),0.24795936416524653)</f>
        <v>0.2479593642</v>
      </c>
      <c r="C13" s="1133">
        <f>IFERROR(__xludf.DUMMYFUNCTION("""COMPUTED_VALUE"""),0.24795936416524653)</f>
        <v>0.2479593642</v>
      </c>
      <c r="D13" s="1133">
        <f>IFERROR(__xludf.DUMMYFUNCTION("""COMPUTED_VALUE"""),0.12235577132442123)</f>
        <v>0.1223557713</v>
      </c>
      <c r="E13" s="1134"/>
      <c r="F13" s="1127" t="str">
        <f>IFERROR(__xludf.DUMMYFUNCTION("""COMPUTED_VALUE"""),"In Cash")</f>
        <v>In Cash</v>
      </c>
      <c r="G13" s="1132">
        <f>IFERROR(__xludf.DUMMYFUNCTION("""COMPUTED_VALUE"""),4.91E8)</f>
        <v>491000000</v>
      </c>
      <c r="H13" s="1126"/>
      <c r="I13" s="1126"/>
      <c r="J13" s="1126"/>
      <c r="K13" s="1126"/>
      <c r="L13" s="1126"/>
      <c r="M13" s="1126"/>
      <c r="N13" s="1126"/>
      <c r="O13" s="1126"/>
      <c r="P13" s="1126"/>
      <c r="Q13" s="1126"/>
      <c r="R13" s="1126"/>
      <c r="S13" s="1126"/>
      <c r="T13" s="1126"/>
      <c r="U13" s="1126"/>
      <c r="V13" s="1126"/>
      <c r="W13" s="1126"/>
      <c r="X13" s="1126"/>
      <c r="Y13" s="1126"/>
      <c r="Z13" s="1126"/>
      <c r="AA13" s="1126"/>
    </row>
    <row r="14">
      <c r="A14" s="1127" t="str">
        <f>IFERROR(__xludf.DUMMYFUNCTION("""COMPUTED_VALUE"""),"Target PR")</f>
        <v>Target PR</v>
      </c>
      <c r="B14" s="1133">
        <f>IFERROR(__xludf.DUMMYFUNCTION("""COMPUTED_VALUE"""),0.7520406358347534)</f>
        <v>0.7520406358</v>
      </c>
      <c r="C14" s="1135"/>
      <c r="D14" s="1126"/>
      <c r="E14" s="1126"/>
      <c r="F14" s="1127" t="str">
        <f>IFERROR(__xludf.DUMMYFUNCTION("""COMPUTED_VALUE"""),"In Kind")</f>
        <v>In Kind</v>
      </c>
      <c r="G14" s="1132">
        <f>IFERROR(__xludf.DUMMYFUNCTION("""COMPUTED_VALUE"""),2.9E7)</f>
        <v>29000000</v>
      </c>
      <c r="H14" s="1126"/>
      <c r="I14" s="1126"/>
      <c r="J14" s="1126"/>
      <c r="K14" s="1126"/>
      <c r="L14" s="1126"/>
      <c r="M14" s="1126"/>
      <c r="N14" s="1126"/>
      <c r="O14" s="1126"/>
      <c r="P14" s="1126"/>
      <c r="Q14" s="1126"/>
      <c r="R14" s="1126"/>
      <c r="S14" s="1126"/>
      <c r="T14" s="1126"/>
      <c r="U14" s="1126"/>
      <c r="V14" s="1126"/>
      <c r="W14" s="1126"/>
      <c r="X14" s="1126"/>
      <c r="Y14" s="1126"/>
      <c r="Z14" s="1126"/>
      <c r="AA14" s="1126"/>
    </row>
    <row r="15">
      <c r="A15" s="1126"/>
      <c r="B15" s="1126"/>
      <c r="C15" s="1126"/>
      <c r="D15" s="1126"/>
      <c r="E15" s="1126"/>
      <c r="F15" s="1126"/>
      <c r="G15" s="1126"/>
      <c r="H15" s="1126"/>
      <c r="I15" s="1126"/>
      <c r="J15" s="1126"/>
      <c r="K15" s="1126"/>
      <c r="L15" s="1126"/>
      <c r="M15" s="1126"/>
      <c r="N15" s="1126"/>
      <c r="O15" s="1126"/>
      <c r="P15" s="1126"/>
      <c r="Q15" s="1126"/>
      <c r="R15" s="1126"/>
      <c r="S15" s="1126"/>
      <c r="T15" s="1126"/>
      <c r="U15" s="1126"/>
      <c r="V15" s="1126"/>
      <c r="W15" s="1126"/>
      <c r="X15" s="1126"/>
      <c r="Y15" s="1126"/>
      <c r="Z15" s="1126"/>
      <c r="AA15" s="1126"/>
    </row>
    <row r="16">
      <c r="A16" s="1126"/>
      <c r="B16" s="1126"/>
      <c r="C16" s="1126"/>
      <c r="D16" s="1126"/>
      <c r="E16" s="1126"/>
      <c r="F16" s="1126"/>
      <c r="G16" s="1126"/>
      <c r="H16" s="1126"/>
      <c r="I16" s="1126"/>
      <c r="J16" s="1126"/>
      <c r="K16" s="1126"/>
      <c r="L16" s="1126"/>
      <c r="M16" s="1126"/>
      <c r="N16" s="1126"/>
      <c r="O16" s="1126"/>
      <c r="P16" s="1126"/>
      <c r="Q16" s="1126"/>
      <c r="R16" s="1126"/>
      <c r="S16" s="1126"/>
      <c r="T16" s="1126"/>
      <c r="U16" s="1126"/>
      <c r="V16" s="1126"/>
      <c r="W16" s="1126"/>
      <c r="X16" s="1126"/>
      <c r="Y16" s="1126"/>
      <c r="Z16" s="1126"/>
      <c r="AA16" s="1126"/>
    </row>
    <row r="17">
      <c r="A17" s="1126"/>
      <c r="B17" s="1126"/>
      <c r="C17" s="1126"/>
      <c r="D17" s="1126"/>
      <c r="E17" s="1126"/>
      <c r="F17" s="1126"/>
      <c r="G17" s="1126"/>
      <c r="H17" s="1126"/>
      <c r="I17" s="1126"/>
      <c r="J17" s="1126"/>
      <c r="K17" s="1126"/>
      <c r="L17" s="1126"/>
      <c r="M17" s="1126"/>
      <c r="N17" s="1126"/>
      <c r="O17" s="1126"/>
      <c r="P17" s="1126"/>
      <c r="Q17" s="1126"/>
      <c r="R17" s="1126"/>
      <c r="S17" s="1126"/>
      <c r="T17" s="1126"/>
      <c r="U17" s="1126"/>
      <c r="V17" s="1126"/>
      <c r="W17" s="1126"/>
      <c r="X17" s="1126"/>
      <c r="Y17" s="1126"/>
      <c r="Z17" s="1126"/>
      <c r="AA17" s="1126"/>
    </row>
    <row r="18">
      <c r="A18" s="1127" t="str">
        <f>IFERROR(__xludf.DUMMYFUNCTION("""COMPUTED_VALUE"""),"Jenis Capaian")</f>
        <v>Jenis Capaian</v>
      </c>
      <c r="B18" s="1127" t="str">
        <f>IFERROR(__xludf.DUMMYFUNCTION("""COMPUTED_VALUE"""),"Jumlah Capaian")</f>
        <v>Jumlah Capaian</v>
      </c>
      <c r="C18" s="1126"/>
      <c r="D18" s="1126"/>
      <c r="E18" s="1126"/>
      <c r="F18" s="1126"/>
      <c r="G18" s="1126"/>
      <c r="H18" s="1126"/>
      <c r="I18" s="1126"/>
      <c r="J18" s="1126"/>
      <c r="K18" s="1126"/>
      <c r="L18" s="1126"/>
      <c r="M18" s="1126"/>
      <c r="N18" s="1126"/>
      <c r="O18" s="1126"/>
      <c r="P18" s="1126"/>
      <c r="Q18" s="1126"/>
      <c r="R18" s="1126"/>
      <c r="S18" s="1126"/>
      <c r="T18" s="1126"/>
      <c r="U18" s="1126"/>
      <c r="V18" s="1126"/>
      <c r="W18" s="1126"/>
      <c r="X18" s="1126"/>
      <c r="Y18" s="1126"/>
      <c r="Z18" s="1126"/>
      <c r="AA18" s="1126"/>
    </row>
    <row r="19">
      <c r="A19" s="1127" t="str">
        <f>IFERROR(__xludf.DUMMYFUNCTION("""COMPUTED_VALUE"""),"Sitasi")</f>
        <v>Sitasi</v>
      </c>
      <c r="B19" s="1128">
        <f>IFERROR(__xludf.DUMMYFUNCTION("""COMPUTED_VALUE"""),813.0)</f>
        <v>813</v>
      </c>
      <c r="C19" s="1126"/>
      <c r="D19" s="1126"/>
      <c r="E19" s="1126"/>
      <c r="F19" s="1126"/>
      <c r="G19" s="1126"/>
      <c r="H19" s="1126"/>
      <c r="I19" s="1126"/>
      <c r="J19" s="1126"/>
      <c r="K19" s="1126"/>
      <c r="L19" s="1126"/>
      <c r="M19" s="1126"/>
      <c r="N19" s="1126"/>
      <c r="O19" s="1126"/>
      <c r="P19" s="1126"/>
      <c r="Q19" s="1126"/>
      <c r="R19" s="1126"/>
      <c r="S19" s="1126"/>
      <c r="T19" s="1126"/>
      <c r="U19" s="1126"/>
      <c r="V19" s="1126"/>
      <c r="W19" s="1126"/>
      <c r="X19" s="1126"/>
      <c r="Y19" s="1126"/>
      <c r="Z19" s="1126"/>
      <c r="AA19" s="1126"/>
    </row>
    <row r="20">
      <c r="A20" s="1127" t="str">
        <f>IFERROR(__xludf.DUMMYFUNCTION("""COMPUTED_VALUE"""),"Publikasi Nasional")</f>
        <v>Publikasi Nasional</v>
      </c>
      <c r="B20" s="1128">
        <f>IFERROR(__xludf.DUMMYFUNCTION("""COMPUTED_VALUE"""),2.0)</f>
        <v>2</v>
      </c>
      <c r="C20" s="1126"/>
      <c r="D20" s="1126"/>
      <c r="E20" s="1126"/>
      <c r="F20" s="1126"/>
      <c r="G20" s="1126"/>
      <c r="H20" s="1126"/>
      <c r="I20" s="1126"/>
      <c r="J20" s="1126"/>
      <c r="K20" s="1126"/>
      <c r="L20" s="1126"/>
      <c r="M20" s="1126"/>
      <c r="N20" s="1126"/>
      <c r="O20" s="1126"/>
      <c r="P20" s="1126"/>
      <c r="Q20" s="1126"/>
      <c r="R20" s="1126"/>
      <c r="S20" s="1126"/>
      <c r="T20" s="1126"/>
      <c r="U20" s="1126"/>
      <c r="V20" s="1126"/>
      <c r="W20" s="1126"/>
      <c r="X20" s="1126"/>
      <c r="Y20" s="1126"/>
      <c r="Z20" s="1126"/>
      <c r="AA20" s="1126"/>
    </row>
    <row r="21" ht="15.75" customHeight="1">
      <c r="A21" s="1126"/>
      <c r="B21" s="1126"/>
      <c r="C21" s="1126"/>
      <c r="D21" s="1126"/>
      <c r="E21" s="1126"/>
      <c r="F21" s="1126"/>
      <c r="G21" s="1126"/>
      <c r="H21" s="1126"/>
      <c r="I21" s="1126"/>
      <c r="J21" s="1126"/>
      <c r="K21" s="1126"/>
      <c r="L21" s="1126"/>
      <c r="M21" s="1126"/>
      <c r="N21" s="1126"/>
      <c r="O21" s="1126"/>
      <c r="P21" s="1126"/>
      <c r="Q21" s="1126"/>
      <c r="R21" s="1126"/>
      <c r="S21" s="1126"/>
      <c r="T21" s="1126"/>
      <c r="U21" s="1126"/>
      <c r="V21" s="1126"/>
      <c r="W21" s="1126"/>
      <c r="X21" s="1126"/>
      <c r="Y21" s="1126"/>
      <c r="Z21" s="1126"/>
      <c r="AA21" s="1126"/>
    </row>
    <row r="22" ht="15.75" customHeight="1">
      <c r="A22" s="1126"/>
      <c r="B22" s="1126"/>
      <c r="C22" s="1126"/>
      <c r="D22" s="1126"/>
      <c r="E22" s="1126"/>
      <c r="F22" s="1126"/>
      <c r="G22" s="1126"/>
      <c r="H22" s="1126"/>
      <c r="I22" s="1126"/>
      <c r="J22" s="1126"/>
      <c r="K22" s="1126"/>
      <c r="L22" s="1126"/>
      <c r="M22" s="1126"/>
      <c r="N22" s="1126"/>
      <c r="O22" s="1126"/>
      <c r="P22" s="1126"/>
      <c r="Q22" s="1126"/>
      <c r="R22" s="1126"/>
      <c r="S22" s="1126"/>
      <c r="T22" s="1126"/>
      <c r="U22" s="1126"/>
      <c r="V22" s="1126"/>
      <c r="W22" s="1126"/>
      <c r="X22" s="1126"/>
      <c r="Y22" s="1126"/>
      <c r="Z22" s="1126"/>
      <c r="AA22" s="1126"/>
    </row>
    <row r="23" ht="15.75" customHeight="1">
      <c r="A23" s="1126"/>
      <c r="B23" s="1126"/>
      <c r="C23" s="1126"/>
      <c r="D23" s="1126"/>
      <c r="E23" s="1126"/>
      <c r="F23" s="1126"/>
      <c r="G23" s="1126"/>
      <c r="H23" s="1126"/>
      <c r="I23" s="1126"/>
      <c r="J23" s="1126"/>
      <c r="K23" s="1126"/>
      <c r="L23" s="1126"/>
      <c r="M23" s="1126"/>
      <c r="N23" s="1126"/>
      <c r="O23" s="1126"/>
      <c r="P23" s="1126"/>
      <c r="Q23" s="1126"/>
      <c r="R23" s="1126"/>
      <c r="S23" s="1126"/>
      <c r="T23" s="1126"/>
      <c r="U23" s="1126"/>
      <c r="V23" s="1126"/>
      <c r="W23" s="1126"/>
      <c r="X23" s="1126"/>
      <c r="Y23" s="1126"/>
      <c r="Z23" s="1126"/>
      <c r="AA23" s="1126"/>
    </row>
    <row r="24" ht="15.75" customHeight="1">
      <c r="A24" s="1126"/>
      <c r="B24" s="1126"/>
      <c r="C24" s="1126"/>
      <c r="D24" s="1126"/>
      <c r="E24" s="1126"/>
      <c r="F24" s="1126"/>
      <c r="G24" s="1126"/>
      <c r="H24" s="1126"/>
      <c r="I24" s="1126"/>
      <c r="J24" s="1126"/>
      <c r="K24" s="1126"/>
      <c r="L24" s="1126"/>
      <c r="M24" s="1126"/>
      <c r="N24" s="1126"/>
      <c r="O24" s="1126"/>
      <c r="P24" s="1126"/>
      <c r="Q24" s="1126"/>
      <c r="R24" s="1126"/>
      <c r="S24" s="1126"/>
      <c r="T24" s="1126"/>
      <c r="U24" s="1126"/>
      <c r="V24" s="1126"/>
      <c r="W24" s="1126"/>
      <c r="X24" s="1126"/>
      <c r="Y24" s="1126"/>
      <c r="Z24" s="1126"/>
      <c r="AA24" s="1126"/>
    </row>
    <row r="25" ht="15.75" customHeight="1">
      <c r="A25" s="1126"/>
      <c r="B25" s="1126"/>
      <c r="C25" s="1126"/>
      <c r="D25" s="1126"/>
      <c r="E25" s="1126"/>
      <c r="F25" s="1126"/>
      <c r="G25" s="1126"/>
      <c r="H25" s="1126"/>
      <c r="I25" s="1126"/>
      <c r="J25" s="1126"/>
      <c r="K25" s="1126"/>
      <c r="L25" s="1126"/>
      <c r="M25" s="1126"/>
      <c r="N25" s="1126"/>
      <c r="O25" s="1126"/>
      <c r="P25" s="1126"/>
      <c r="Q25" s="1126"/>
      <c r="R25" s="1126"/>
      <c r="S25" s="1126"/>
      <c r="T25" s="1126"/>
      <c r="U25" s="1126"/>
      <c r="V25" s="1126"/>
      <c r="W25" s="1126"/>
      <c r="X25" s="1126"/>
      <c r="Y25" s="1126"/>
      <c r="Z25" s="1126"/>
      <c r="AA25" s="1126"/>
    </row>
    <row r="26" ht="15.75" customHeight="1">
      <c r="A26" s="1126"/>
      <c r="B26" s="1126"/>
      <c r="C26" s="1126"/>
      <c r="D26" s="1126"/>
      <c r="E26" s="1126"/>
      <c r="F26" s="1126"/>
      <c r="G26" s="1126"/>
      <c r="H26" s="1126"/>
      <c r="I26" s="1126"/>
      <c r="J26" s="1126"/>
      <c r="K26" s="1126"/>
      <c r="L26" s="1126"/>
      <c r="M26" s="1126"/>
      <c r="N26" s="1126"/>
      <c r="O26" s="1126"/>
      <c r="P26" s="1126"/>
      <c r="Q26" s="1126"/>
      <c r="R26" s="1126"/>
      <c r="S26" s="1126"/>
      <c r="T26" s="1126"/>
      <c r="U26" s="1126"/>
      <c r="V26" s="1126"/>
      <c r="W26" s="1126"/>
      <c r="X26" s="1126"/>
      <c r="Y26" s="1126"/>
      <c r="Z26" s="1126"/>
      <c r="AA26" s="1126"/>
    </row>
    <row r="27" ht="15.75" customHeight="1">
      <c r="A27" s="1127"/>
      <c r="B27" s="1126"/>
      <c r="C27" s="1126"/>
      <c r="D27" s="1126"/>
      <c r="E27" s="1126"/>
      <c r="F27" s="1126"/>
      <c r="G27" s="1126"/>
      <c r="H27" s="1126"/>
      <c r="I27" s="1126"/>
      <c r="J27" s="1126"/>
      <c r="K27" s="1126"/>
      <c r="L27" s="1127"/>
      <c r="M27" s="1126"/>
      <c r="N27" s="1126"/>
      <c r="O27" s="1126"/>
      <c r="P27" s="1126"/>
      <c r="Q27" s="1126"/>
      <c r="R27" s="1126"/>
      <c r="S27" s="1126"/>
      <c r="T27" s="1126"/>
      <c r="U27" s="1126"/>
      <c r="V27" s="1126"/>
      <c r="W27" s="1126"/>
      <c r="X27" s="1126"/>
      <c r="Y27" s="1126"/>
      <c r="Z27" s="1126"/>
      <c r="AA27" s="1126"/>
    </row>
    <row r="28" ht="15.75" customHeight="1">
      <c r="A28" s="1127" t="str">
        <f>IFERROR(__xludf.DUMMYFUNCTION("""COMPUTED_VALUE"""),"Publikasi")</f>
        <v>Publikasi</v>
      </c>
      <c r="B28" s="1126"/>
      <c r="C28" s="1126"/>
      <c r="D28" s="1126"/>
      <c r="E28" s="1126"/>
      <c r="F28" s="1126"/>
      <c r="G28" s="1126"/>
      <c r="H28" s="1126"/>
      <c r="I28" s="1126"/>
      <c r="J28" s="1126"/>
      <c r="K28" s="1126"/>
      <c r="L28" s="1127" t="s">
        <v>961</v>
      </c>
      <c r="M28" s="1126"/>
      <c r="N28" s="1126"/>
      <c r="O28" s="1126"/>
      <c r="P28" s="1126"/>
      <c r="Q28" s="1126"/>
      <c r="R28" s="1126"/>
      <c r="S28" s="1126"/>
      <c r="T28" s="1126"/>
      <c r="U28" s="1126"/>
      <c r="V28" s="1126"/>
      <c r="W28" s="1126"/>
      <c r="X28" s="1126"/>
      <c r="Y28" s="1126"/>
      <c r="Z28" s="1126"/>
      <c r="AA28" s="1126"/>
    </row>
    <row r="29" ht="15.75" customHeight="1">
      <c r="A29" s="1127" t="str">
        <f>IFERROR(__xludf.DUMMYFUNCTION("""COMPUTED_VALUE"""),"Jenis PI")</f>
        <v>Jenis PI</v>
      </c>
      <c r="B29" s="1127" t="str">
        <f>IFERROR(__xludf.DUMMYFUNCTION("""COMPUTED_VALUE"""),"Accepted")</f>
        <v>Accepted</v>
      </c>
      <c r="C29" s="1127" t="str">
        <f>IFERROR(__xludf.DUMMYFUNCTION("""COMPUTED_VALUE"""),"Published")</f>
        <v>Published</v>
      </c>
      <c r="D29" s="1126"/>
      <c r="E29" s="1126"/>
      <c r="F29" s="1126"/>
      <c r="G29" s="1126"/>
      <c r="H29" s="1126"/>
      <c r="I29" s="1126"/>
      <c r="J29" s="1126"/>
      <c r="K29" s="1126"/>
      <c r="L29" s="1126"/>
      <c r="M29" s="1127" t="s">
        <v>962</v>
      </c>
      <c r="N29" s="1126"/>
      <c r="O29" s="1126"/>
      <c r="P29" s="1126"/>
      <c r="Q29" s="1126"/>
      <c r="R29" s="1126"/>
      <c r="S29" s="1126"/>
      <c r="T29" s="1126"/>
      <c r="U29" s="1126"/>
      <c r="V29" s="1126"/>
      <c r="W29" s="1126"/>
      <c r="X29" s="1126"/>
      <c r="Y29" s="1126"/>
      <c r="Z29" s="1126"/>
      <c r="AA29" s="1126"/>
    </row>
    <row r="30" ht="15.75" customHeight="1">
      <c r="A30" s="1127" t="str">
        <f>IFERROR(__xludf.DUMMYFUNCTION("""COMPUTED_VALUE"""),"JURNAL")</f>
        <v>JURNAL</v>
      </c>
      <c r="B30" s="1128">
        <f>IFERROR(__xludf.DUMMYFUNCTION("""COMPUTED_VALUE"""),0.0)</f>
        <v>0</v>
      </c>
      <c r="C30" s="1128">
        <f>IFERROR(__xludf.DUMMYFUNCTION("""COMPUTED_VALUE"""),26.0)</f>
        <v>26</v>
      </c>
      <c r="D30" s="1126"/>
      <c r="E30" s="1126"/>
      <c r="F30" s="1126"/>
      <c r="G30" s="1126"/>
      <c r="H30" s="1126"/>
      <c r="I30" s="1126"/>
      <c r="J30" s="1126"/>
      <c r="K30" s="1126"/>
      <c r="L30" s="1126"/>
      <c r="M30" s="1126"/>
      <c r="N30" s="1126"/>
      <c r="O30" s="1126"/>
      <c r="P30" s="1126"/>
      <c r="Q30" s="1126"/>
      <c r="R30" s="1126"/>
      <c r="S30" s="1126"/>
      <c r="T30" s="1126"/>
      <c r="U30" s="1126"/>
      <c r="V30" s="1126"/>
      <c r="W30" s="1126"/>
      <c r="X30" s="1126"/>
      <c r="Y30" s="1126"/>
      <c r="Z30" s="1126"/>
      <c r="AA30" s="1126"/>
    </row>
    <row r="31" ht="15.75" customHeight="1">
      <c r="A31" s="1127" t="str">
        <f>IFERROR(__xludf.DUMMYFUNCTION("""COMPUTED_VALUE"""),"PHROSIDING")</f>
        <v>PHROSIDING</v>
      </c>
      <c r="B31" s="1128">
        <f>IFERROR(__xludf.DUMMYFUNCTION("""COMPUTED_VALUE"""),0.0)</f>
        <v>0</v>
      </c>
      <c r="C31" s="1128">
        <f>IFERROR(__xludf.DUMMYFUNCTION("""COMPUTED_VALUE"""),8.0)</f>
        <v>8</v>
      </c>
      <c r="D31" s="1126"/>
      <c r="E31" s="1126"/>
      <c r="F31" s="1126"/>
      <c r="G31" s="1126"/>
      <c r="H31" s="1126"/>
      <c r="I31" s="1126"/>
      <c r="J31" s="1126"/>
      <c r="K31" s="1126"/>
      <c r="L31" s="1126"/>
      <c r="M31" s="1126"/>
      <c r="N31" s="1126"/>
      <c r="O31" s="1126"/>
      <c r="P31" s="1126"/>
      <c r="Q31" s="1126"/>
      <c r="R31" s="1126"/>
      <c r="S31" s="1126"/>
      <c r="T31" s="1126"/>
      <c r="U31" s="1126"/>
      <c r="V31" s="1126"/>
      <c r="W31" s="1126"/>
      <c r="X31" s="1126"/>
      <c r="Y31" s="1126"/>
      <c r="Z31" s="1126"/>
      <c r="AA31" s="1126"/>
    </row>
    <row r="32" ht="15.75" customHeight="1">
      <c r="A32" s="1127" t="str">
        <f>IFERROR(__xludf.DUMMYFUNCTION("""COMPUTED_VALUE"""),"BUKU")</f>
        <v>BUKU</v>
      </c>
      <c r="B32" s="1128">
        <f>IFERROR(__xludf.DUMMYFUNCTION("""COMPUTED_VALUE"""),0.0)</f>
        <v>0</v>
      </c>
      <c r="C32" s="1128">
        <f>IFERROR(__xludf.DUMMYFUNCTION("""COMPUTED_VALUE"""),0.0)</f>
        <v>0</v>
      </c>
      <c r="D32" s="1126"/>
      <c r="E32" s="1126"/>
      <c r="F32" s="1126"/>
      <c r="G32" s="1126"/>
      <c r="H32" s="1126"/>
      <c r="I32" s="1126"/>
      <c r="J32" s="1126"/>
      <c r="K32" s="1126"/>
      <c r="L32" s="1126"/>
      <c r="M32" s="1126"/>
      <c r="N32" s="1126"/>
      <c r="O32" s="1126"/>
      <c r="P32" s="1126"/>
      <c r="Q32" s="1126"/>
      <c r="R32" s="1126"/>
      <c r="S32" s="1126"/>
      <c r="T32" s="1126"/>
      <c r="U32" s="1126"/>
      <c r="V32" s="1126"/>
      <c r="W32" s="1126"/>
      <c r="X32" s="1126"/>
      <c r="Y32" s="1126"/>
      <c r="Z32" s="1126"/>
      <c r="AA32" s="1126"/>
    </row>
    <row r="33" ht="15.75" customHeight="1">
      <c r="A33" s="1127" t="str">
        <f>IFERROR(__xludf.DUMMYFUNCTION("""COMPUTED_VALUE"""),"BAGIAN BUKU")</f>
        <v>BAGIAN BUKU</v>
      </c>
      <c r="B33" s="1128">
        <f>IFERROR(__xludf.DUMMYFUNCTION("""COMPUTED_VALUE"""),0.0)</f>
        <v>0</v>
      </c>
      <c r="C33" s="1128">
        <f>IFERROR(__xludf.DUMMYFUNCTION("""COMPUTED_VALUE"""),0.0)</f>
        <v>0</v>
      </c>
      <c r="D33" s="1126"/>
      <c r="E33" s="1126"/>
      <c r="F33" s="1126"/>
      <c r="G33" s="1126"/>
      <c r="H33" s="1126"/>
      <c r="I33" s="1126"/>
      <c r="J33" s="1126"/>
      <c r="K33" s="1126"/>
      <c r="L33" s="1126"/>
      <c r="M33" s="1126"/>
      <c r="N33" s="1126"/>
      <c r="O33" s="1126"/>
      <c r="P33" s="1126"/>
      <c r="Q33" s="1126"/>
      <c r="R33" s="1126"/>
      <c r="S33" s="1126"/>
      <c r="T33" s="1126"/>
      <c r="U33" s="1126"/>
      <c r="V33" s="1126"/>
      <c r="W33" s="1126"/>
      <c r="X33" s="1126"/>
      <c r="Y33" s="1126"/>
      <c r="Z33" s="1126"/>
      <c r="AA33" s="1126"/>
    </row>
    <row r="34" ht="15.75" customHeight="1">
      <c r="A34" s="1126"/>
      <c r="B34" s="1126"/>
      <c r="C34" s="1126"/>
      <c r="D34" s="1126"/>
      <c r="E34" s="1126"/>
      <c r="F34" s="1126"/>
      <c r="G34" s="1126"/>
      <c r="H34" s="1126"/>
      <c r="I34" s="1126"/>
      <c r="J34" s="1126"/>
      <c r="K34" s="1126"/>
      <c r="L34" s="1126"/>
      <c r="M34" s="1126"/>
      <c r="N34" s="1126"/>
      <c r="O34" s="1126"/>
      <c r="P34" s="1126"/>
      <c r="Q34" s="1126"/>
      <c r="R34" s="1126"/>
      <c r="S34" s="1126"/>
      <c r="T34" s="1126"/>
      <c r="U34" s="1126"/>
      <c r="V34" s="1126"/>
      <c r="W34" s="1126"/>
      <c r="X34" s="1126"/>
      <c r="Y34" s="1126"/>
      <c r="Z34" s="1126"/>
      <c r="AA34" s="1126"/>
    </row>
    <row r="35" ht="15.75" customHeight="1">
      <c r="A35" s="1126"/>
      <c r="B35" s="1126"/>
      <c r="C35" s="1126"/>
      <c r="D35" s="1126"/>
      <c r="E35" s="1126"/>
      <c r="F35" s="1126"/>
      <c r="G35" s="1126"/>
      <c r="H35" s="1126"/>
      <c r="I35" s="1126"/>
      <c r="J35" s="1126"/>
      <c r="K35" s="1126"/>
      <c r="L35" s="1126"/>
      <c r="M35" s="1126"/>
      <c r="N35" s="1126"/>
      <c r="O35" s="1126"/>
      <c r="P35" s="1126"/>
      <c r="Q35" s="1126"/>
      <c r="R35" s="1126"/>
      <c r="S35" s="1126"/>
      <c r="T35" s="1126"/>
      <c r="U35" s="1126"/>
      <c r="V35" s="1126"/>
      <c r="W35" s="1126"/>
      <c r="X35" s="1126"/>
      <c r="Y35" s="1126"/>
      <c r="Z35" s="1126"/>
      <c r="AA35" s="1126"/>
    </row>
    <row r="36" ht="15.75" customHeight="1">
      <c r="A36" s="1127" t="str">
        <f>IFERROR(__xludf.DUMMYFUNCTION("""COMPUTED_VALUE"""),"Purwarupa")</f>
        <v>Purwarupa</v>
      </c>
      <c r="B36" s="1127" t="str">
        <f>IFERROR(__xludf.DUMMYFUNCTION("""COMPUTED_VALUE"""),"Sertifikasi")</f>
        <v>Sertifikasi</v>
      </c>
      <c r="C36" s="1127" t="str">
        <f>IFERROR(__xludf.DUMMYFUNCTION("""COMPUTED_VALUE"""),"Licensi")</f>
        <v>Licensi</v>
      </c>
      <c r="D36" s="1126"/>
      <c r="E36" s="1126"/>
      <c r="F36" s="1126"/>
      <c r="G36" s="1126"/>
      <c r="H36" s="1126"/>
      <c r="I36" s="1126"/>
      <c r="J36" s="1126"/>
      <c r="K36" s="1126"/>
      <c r="L36" s="1126"/>
      <c r="M36" s="1127" t="s">
        <v>963</v>
      </c>
      <c r="N36" s="1126"/>
      <c r="O36" s="1126"/>
      <c r="P36" s="1126"/>
      <c r="Q36" s="1126"/>
      <c r="R36" s="1126"/>
      <c r="S36" s="1126"/>
      <c r="T36" s="1126"/>
      <c r="U36" s="1126"/>
      <c r="V36" s="1126"/>
      <c r="W36" s="1126"/>
      <c r="X36" s="1126"/>
      <c r="Y36" s="1126"/>
      <c r="Z36" s="1126"/>
      <c r="AA36" s="1126"/>
    </row>
    <row r="37" ht="15.75" customHeight="1">
      <c r="A37" s="1127" t="str">
        <f>IFERROR(__xludf.DUMMYFUNCTION("""COMPUTED_VALUE"""),"HARDWARE")</f>
        <v>HARDWARE</v>
      </c>
      <c r="B37" s="1128">
        <f>IFERROR(__xludf.DUMMYFUNCTION("""COMPUTED_VALUE"""),0.0)</f>
        <v>0</v>
      </c>
      <c r="C37" s="1128">
        <f>IFERROR(__xludf.DUMMYFUNCTION("""COMPUTED_VALUE"""),0.0)</f>
        <v>0</v>
      </c>
      <c r="D37" s="1126"/>
      <c r="E37" s="1126"/>
      <c r="F37" s="1126"/>
      <c r="G37" s="1126"/>
      <c r="H37" s="1126"/>
      <c r="I37" s="1126"/>
      <c r="J37" s="1126"/>
      <c r="K37" s="1126"/>
      <c r="L37" s="1126"/>
      <c r="M37" s="1126"/>
      <c r="N37" s="1126"/>
      <c r="O37" s="1126"/>
      <c r="P37" s="1126"/>
      <c r="Q37" s="1126"/>
      <c r="R37" s="1126"/>
      <c r="S37" s="1126"/>
      <c r="T37" s="1126"/>
      <c r="U37" s="1126"/>
      <c r="V37" s="1126"/>
      <c r="W37" s="1126"/>
      <c r="X37" s="1126"/>
      <c r="Y37" s="1126"/>
      <c r="Z37" s="1126"/>
      <c r="AA37" s="1126"/>
    </row>
    <row r="38" ht="15.75" customHeight="1">
      <c r="A38" s="1127" t="str">
        <f>IFERROR(__xludf.DUMMYFUNCTION("""COMPUTED_VALUE"""),"SOFTWARE")</f>
        <v>SOFTWARE</v>
      </c>
      <c r="B38" s="1128">
        <f>IFERROR(__xludf.DUMMYFUNCTION("""COMPUTED_VALUE"""),0.0)</f>
        <v>0</v>
      </c>
      <c r="C38" s="1128">
        <f>IFERROR(__xludf.DUMMYFUNCTION("""COMPUTED_VALUE"""),0.0)</f>
        <v>0</v>
      </c>
      <c r="D38" s="1126"/>
      <c r="E38" s="1126"/>
      <c r="F38" s="1126"/>
      <c r="G38" s="1126"/>
      <c r="H38" s="1126"/>
      <c r="I38" s="1126"/>
      <c r="J38" s="1126"/>
      <c r="K38" s="1126"/>
      <c r="L38" s="1126"/>
      <c r="M38" s="1126"/>
      <c r="N38" s="1126"/>
      <c r="O38" s="1126"/>
      <c r="P38" s="1126"/>
      <c r="Q38" s="1126"/>
      <c r="R38" s="1126"/>
      <c r="S38" s="1126"/>
      <c r="T38" s="1126"/>
      <c r="U38" s="1126"/>
      <c r="V38" s="1126"/>
      <c r="W38" s="1126"/>
      <c r="X38" s="1126"/>
      <c r="Y38" s="1126"/>
      <c r="Z38" s="1126"/>
      <c r="AA38" s="1126"/>
    </row>
    <row r="39" ht="15.75" customHeight="1">
      <c r="A39" s="1127" t="str">
        <f>IFERROR(__xludf.DUMMYFUNCTION("""COMPUTED_VALUE"""),"DESAIGN")</f>
        <v>DESAIGN</v>
      </c>
      <c r="B39" s="1128">
        <f>IFERROR(__xludf.DUMMYFUNCTION("""COMPUTED_VALUE"""),0.0)</f>
        <v>0</v>
      </c>
      <c r="C39" s="1128">
        <f>IFERROR(__xludf.DUMMYFUNCTION("""COMPUTED_VALUE"""),0.0)</f>
        <v>0</v>
      </c>
      <c r="D39" s="1126"/>
      <c r="E39" s="1126"/>
      <c r="F39" s="1126"/>
      <c r="G39" s="1126"/>
      <c r="H39" s="1126"/>
      <c r="I39" s="1126"/>
      <c r="J39" s="1126"/>
      <c r="K39" s="1126"/>
      <c r="L39" s="1126"/>
      <c r="M39" s="1126"/>
      <c r="N39" s="1126"/>
      <c r="O39" s="1126"/>
      <c r="P39" s="1126"/>
      <c r="Q39" s="1126"/>
      <c r="R39" s="1126"/>
      <c r="S39" s="1126"/>
      <c r="T39" s="1126"/>
      <c r="U39" s="1126"/>
      <c r="V39" s="1126"/>
      <c r="W39" s="1126"/>
      <c r="X39" s="1126"/>
      <c r="Y39" s="1126"/>
      <c r="Z39" s="1126"/>
      <c r="AA39" s="1126"/>
    </row>
    <row r="40" ht="15.75" customHeight="1">
      <c r="A40" s="1126"/>
      <c r="B40" s="1126"/>
      <c r="C40" s="1126"/>
      <c r="D40" s="1126"/>
      <c r="E40" s="1126"/>
      <c r="F40" s="1126"/>
      <c r="G40" s="1126"/>
      <c r="H40" s="1126"/>
      <c r="I40" s="1126"/>
      <c r="J40" s="1126"/>
      <c r="K40" s="1126"/>
      <c r="L40" s="1126"/>
      <c r="M40" s="1126"/>
      <c r="N40" s="1126"/>
      <c r="O40" s="1126"/>
      <c r="P40" s="1126"/>
      <c r="Q40" s="1126"/>
      <c r="R40" s="1126"/>
      <c r="S40" s="1126"/>
      <c r="T40" s="1126"/>
      <c r="U40" s="1126"/>
      <c r="V40" s="1126"/>
      <c r="W40" s="1126"/>
      <c r="X40" s="1126"/>
      <c r="Y40" s="1126"/>
      <c r="Z40" s="1126"/>
      <c r="AA40" s="1126"/>
    </row>
    <row r="41" ht="15.75" customHeight="1">
      <c r="A41" s="1126"/>
      <c r="B41" s="1126"/>
      <c r="C41" s="1126"/>
      <c r="D41" s="1126"/>
      <c r="E41" s="1126"/>
      <c r="F41" s="1126"/>
      <c r="G41" s="1126"/>
      <c r="H41" s="1126"/>
      <c r="I41" s="1126"/>
      <c r="J41" s="1126"/>
      <c r="K41" s="1126"/>
      <c r="L41" s="1126"/>
      <c r="M41" s="1126"/>
      <c r="N41" s="1126"/>
      <c r="O41" s="1126"/>
      <c r="P41" s="1126"/>
      <c r="Q41" s="1126"/>
      <c r="R41" s="1126"/>
      <c r="S41" s="1126"/>
      <c r="T41" s="1126"/>
      <c r="U41" s="1126"/>
      <c r="V41" s="1126"/>
      <c r="W41" s="1126"/>
      <c r="X41" s="1126"/>
      <c r="Y41" s="1126"/>
      <c r="Z41" s="1126"/>
      <c r="AA41" s="1126"/>
    </row>
    <row r="42" ht="15.75" customHeight="1">
      <c r="A42" s="1126"/>
      <c r="B42" s="1126"/>
      <c r="C42" s="1126"/>
      <c r="D42" s="1126"/>
      <c r="E42" s="1126"/>
      <c r="F42" s="1126"/>
      <c r="G42" s="1126"/>
      <c r="H42" s="1126"/>
      <c r="I42" s="1126"/>
      <c r="J42" s="1126"/>
      <c r="K42" s="1126"/>
      <c r="L42" s="1126"/>
      <c r="M42" s="1126"/>
      <c r="N42" s="1126"/>
      <c r="O42" s="1126"/>
      <c r="P42" s="1126"/>
      <c r="Q42" s="1126"/>
      <c r="R42" s="1126"/>
      <c r="S42" s="1126"/>
      <c r="T42" s="1126"/>
      <c r="U42" s="1126"/>
      <c r="V42" s="1126"/>
      <c r="W42" s="1126"/>
      <c r="X42" s="1126"/>
      <c r="Y42" s="1126"/>
      <c r="Z42" s="1126"/>
      <c r="AA42" s="1126"/>
    </row>
    <row r="43" ht="15.75" customHeight="1">
      <c r="A43" s="1127" t="str">
        <f>IFERROR(__xludf.DUMMYFUNCTION("""COMPUTED_VALUE"""),"Kekayaan Intelektual")</f>
        <v>Kekayaan Intelektual</v>
      </c>
      <c r="B43" s="1127" t="str">
        <f>IFERROR(__xludf.DUMMYFUNCTION("""COMPUTED_VALUE"""),"Terdaftar")</f>
        <v>Terdaftar</v>
      </c>
      <c r="C43" s="1127" t="str">
        <f>IFERROR(__xludf.DUMMYFUNCTION("""COMPUTED_VALUE"""),"Tersertifikasi")</f>
        <v>Tersertifikasi</v>
      </c>
      <c r="D43" s="1126"/>
      <c r="E43" s="1126"/>
      <c r="F43" s="1126"/>
      <c r="G43" s="1126"/>
      <c r="H43" s="1126"/>
      <c r="I43" s="1126"/>
      <c r="J43" s="1126"/>
      <c r="K43" s="1126"/>
      <c r="L43" s="1126"/>
      <c r="M43" s="1136" t="s">
        <v>964</v>
      </c>
      <c r="N43" s="1126"/>
      <c r="O43" s="1126"/>
      <c r="P43" s="1126"/>
      <c r="Q43" s="1126"/>
      <c r="R43" s="1126"/>
      <c r="S43" s="1126"/>
      <c r="T43" s="1126"/>
      <c r="U43" s="1126"/>
      <c r="V43" s="1126"/>
      <c r="W43" s="1126"/>
      <c r="X43" s="1126"/>
      <c r="Y43" s="1126"/>
      <c r="Z43" s="1126"/>
      <c r="AA43" s="1126"/>
    </row>
    <row r="44" ht="15.75" customHeight="1">
      <c r="A44" s="1127" t="str">
        <f>IFERROR(__xludf.DUMMYFUNCTION("""COMPUTED_VALUE"""),"PATEN")</f>
        <v>PATEN</v>
      </c>
      <c r="B44" s="1128">
        <f>IFERROR(__xludf.DUMMYFUNCTION("""COMPUTED_VALUE"""),1.0)</f>
        <v>1</v>
      </c>
      <c r="C44" s="1128">
        <f>IFERROR(__xludf.DUMMYFUNCTION("""COMPUTED_VALUE"""),0.0)</f>
        <v>0</v>
      </c>
      <c r="D44" s="1126"/>
      <c r="E44" s="1126"/>
      <c r="F44" s="1126"/>
      <c r="G44" s="1126"/>
      <c r="H44" s="1126"/>
      <c r="I44" s="1126"/>
      <c r="J44" s="1126"/>
      <c r="K44" s="1126"/>
      <c r="L44" s="1126"/>
      <c r="M44" s="1126"/>
      <c r="N44" s="1126"/>
      <c r="O44" s="1126"/>
      <c r="P44" s="1126"/>
      <c r="Q44" s="1126"/>
      <c r="R44" s="1126"/>
      <c r="S44" s="1126"/>
      <c r="T44" s="1126"/>
      <c r="U44" s="1126"/>
      <c r="V44" s="1126"/>
      <c r="W44" s="1126"/>
      <c r="X44" s="1126"/>
      <c r="Y44" s="1126"/>
      <c r="Z44" s="1126"/>
      <c r="AA44" s="1126"/>
    </row>
    <row r="45" ht="15.75" customHeight="1">
      <c r="A45" s="1127" t="str">
        <f>IFERROR(__xludf.DUMMYFUNCTION("""COMPUTED_VALUE"""),"HAK CIPTA")</f>
        <v>HAK CIPTA</v>
      </c>
      <c r="B45" s="1128">
        <f>IFERROR(__xludf.DUMMYFUNCTION("""COMPUTED_VALUE"""),2.0)</f>
        <v>2</v>
      </c>
      <c r="C45" s="1128">
        <f>IFERROR(__xludf.DUMMYFUNCTION("""COMPUTED_VALUE"""),0.0)</f>
        <v>0</v>
      </c>
      <c r="D45" s="1126"/>
      <c r="E45" s="1126"/>
      <c r="F45" s="1126"/>
      <c r="G45" s="1126"/>
      <c r="H45" s="1126"/>
      <c r="I45" s="1126"/>
      <c r="J45" s="1126"/>
      <c r="K45" s="1126"/>
      <c r="L45" s="1126"/>
      <c r="M45" s="1126"/>
      <c r="N45" s="1126"/>
      <c r="O45" s="1126"/>
      <c r="P45" s="1126"/>
      <c r="Q45" s="1126"/>
      <c r="R45" s="1126"/>
      <c r="S45" s="1126"/>
      <c r="T45" s="1126"/>
      <c r="U45" s="1126"/>
      <c r="V45" s="1126"/>
      <c r="W45" s="1126"/>
      <c r="X45" s="1126"/>
      <c r="Y45" s="1126"/>
      <c r="Z45" s="1126"/>
      <c r="AA45" s="1126"/>
    </row>
    <row r="46" ht="15.75" customHeight="1">
      <c r="A46" s="1127" t="str">
        <f>IFERROR(__xludf.DUMMYFUNCTION("""COMPUTED_VALUE"""),"DESAIN INDUSTRI")</f>
        <v>DESAIN INDUSTRI</v>
      </c>
      <c r="B46" s="1128">
        <f>IFERROR(__xludf.DUMMYFUNCTION("""COMPUTED_VALUE"""),0.0)</f>
        <v>0</v>
      </c>
      <c r="C46" s="1128">
        <f>IFERROR(__xludf.DUMMYFUNCTION("""COMPUTED_VALUE"""),0.0)</f>
        <v>0</v>
      </c>
      <c r="D46" s="1126"/>
      <c r="E46" s="1126"/>
      <c r="F46" s="1126"/>
      <c r="G46" s="1126"/>
      <c r="H46" s="1126"/>
      <c r="I46" s="1126"/>
      <c r="J46" s="1126"/>
      <c r="K46" s="1126"/>
      <c r="L46" s="1126"/>
      <c r="M46" s="1126"/>
      <c r="N46" s="1126"/>
      <c r="O46" s="1126"/>
      <c r="P46" s="1126"/>
      <c r="Q46" s="1126"/>
      <c r="R46" s="1126"/>
      <c r="S46" s="1126"/>
      <c r="T46" s="1126"/>
      <c r="U46" s="1126"/>
      <c r="V46" s="1126"/>
      <c r="W46" s="1126"/>
      <c r="X46" s="1126"/>
      <c r="Y46" s="1126"/>
      <c r="Z46" s="1126"/>
      <c r="AA46" s="1126"/>
    </row>
    <row r="47" ht="15.75" customHeight="1">
      <c r="A47" s="1126"/>
      <c r="B47" s="1126"/>
      <c r="C47" s="1126"/>
      <c r="D47" s="1126"/>
      <c r="E47" s="1126"/>
      <c r="F47" s="1126"/>
      <c r="G47" s="1126"/>
      <c r="H47" s="1126"/>
      <c r="I47" s="1126"/>
      <c r="J47" s="1126"/>
      <c r="K47" s="1126"/>
      <c r="L47" s="1126"/>
      <c r="M47" s="1126"/>
      <c r="N47" s="1126"/>
      <c r="O47" s="1126"/>
      <c r="P47" s="1126"/>
      <c r="Q47" s="1126"/>
      <c r="R47" s="1126"/>
      <c r="S47" s="1126"/>
      <c r="T47" s="1126"/>
      <c r="U47" s="1126"/>
      <c r="V47" s="1126"/>
      <c r="W47" s="1126"/>
      <c r="X47" s="1126"/>
      <c r="Y47" s="1126"/>
      <c r="Z47" s="1126"/>
      <c r="AA47" s="1126"/>
    </row>
    <row r="48" ht="15.75" customHeight="1">
      <c r="A48" s="1126"/>
      <c r="B48" s="1126"/>
      <c r="C48" s="1126"/>
      <c r="D48" s="1126"/>
      <c r="E48" s="1126"/>
      <c r="F48" s="1126"/>
      <c r="G48" s="1126"/>
      <c r="H48" s="1126"/>
      <c r="I48" s="1126"/>
      <c r="J48" s="1126"/>
      <c r="K48" s="1126"/>
      <c r="L48" s="1126"/>
      <c r="M48" s="1126"/>
      <c r="N48" s="1126"/>
      <c r="O48" s="1126"/>
      <c r="P48" s="1126"/>
      <c r="Q48" s="1126"/>
      <c r="R48" s="1126"/>
      <c r="S48" s="1126"/>
      <c r="T48" s="1126"/>
      <c r="U48" s="1126"/>
      <c r="V48" s="1126"/>
      <c r="W48" s="1126"/>
      <c r="X48" s="1126"/>
      <c r="Y48" s="1126"/>
      <c r="Z48" s="1126"/>
      <c r="AA48" s="1126"/>
    </row>
    <row r="49" ht="15.75" customHeight="1">
      <c r="A49" s="1127" t="str">
        <f>IFERROR(__xludf.DUMMYFUNCTION("""COMPUTED_VALUE"""),"Sitasi")</f>
        <v>Sitasi</v>
      </c>
      <c r="B49" s="1126"/>
      <c r="C49" s="1126"/>
      <c r="D49" s="1126"/>
      <c r="E49" s="1126"/>
      <c r="F49" s="1126"/>
      <c r="G49" s="1126"/>
      <c r="H49" s="1126"/>
      <c r="I49" s="1126"/>
      <c r="J49" s="1126"/>
      <c r="K49" s="1126"/>
      <c r="L49" s="1126"/>
      <c r="M49" s="1127" t="s">
        <v>965</v>
      </c>
      <c r="N49" s="1126"/>
      <c r="O49" s="1126"/>
      <c r="P49" s="1126"/>
      <c r="Q49" s="1126"/>
      <c r="R49" s="1126"/>
      <c r="S49" s="1126"/>
      <c r="T49" s="1126"/>
      <c r="U49" s="1126"/>
      <c r="V49" s="1126"/>
      <c r="W49" s="1126"/>
      <c r="X49" s="1126"/>
      <c r="Y49" s="1126"/>
      <c r="Z49" s="1126"/>
      <c r="AA49" s="1126"/>
    </row>
    <row r="50" ht="15.75" customHeight="1">
      <c r="A50" s="1126"/>
      <c r="B50" s="1126"/>
      <c r="C50" s="1126"/>
      <c r="D50" s="1126"/>
      <c r="E50" s="1126"/>
      <c r="F50" s="1126"/>
      <c r="G50" s="1126"/>
      <c r="H50" s="1126"/>
      <c r="I50" s="1126"/>
      <c r="J50" s="1126"/>
      <c r="K50" s="1126"/>
      <c r="L50" s="1126"/>
      <c r="M50" s="1126"/>
      <c r="N50" s="1126"/>
      <c r="O50" s="1126"/>
      <c r="P50" s="1126"/>
      <c r="Q50" s="1126"/>
      <c r="R50" s="1126"/>
      <c r="S50" s="1126"/>
      <c r="T50" s="1126"/>
      <c r="U50" s="1126"/>
      <c r="V50" s="1126"/>
      <c r="W50" s="1126"/>
      <c r="X50" s="1126"/>
      <c r="Y50" s="1126"/>
      <c r="Z50" s="1126"/>
      <c r="AA50" s="1126"/>
    </row>
    <row r="51" ht="15.75" customHeight="1">
      <c r="A51" s="1126"/>
      <c r="B51" s="1126"/>
      <c r="C51" s="1126"/>
      <c r="D51" s="1126"/>
      <c r="E51" s="1126"/>
      <c r="F51" s="1126"/>
      <c r="G51" s="1126"/>
      <c r="H51" s="1126"/>
      <c r="I51" s="1126"/>
      <c r="J51" s="1126"/>
      <c r="K51" s="1126"/>
      <c r="L51" s="1126"/>
      <c r="M51" s="1126"/>
      <c r="N51" s="1126"/>
      <c r="O51" s="1126"/>
      <c r="P51" s="1126"/>
      <c r="Q51" s="1126"/>
      <c r="R51" s="1126"/>
      <c r="S51" s="1126"/>
      <c r="T51" s="1126"/>
      <c r="U51" s="1126"/>
      <c r="V51" s="1126"/>
      <c r="W51" s="1126"/>
      <c r="X51" s="1126"/>
      <c r="Y51" s="1126"/>
      <c r="Z51" s="1126"/>
      <c r="AA51" s="1126"/>
    </row>
    <row r="52" ht="15.75" customHeight="1">
      <c r="A52" s="1126"/>
      <c r="B52" s="1126"/>
      <c r="C52" s="1126"/>
      <c r="D52" s="1126"/>
      <c r="E52" s="1126"/>
      <c r="F52" s="1126"/>
      <c r="G52" s="1126"/>
      <c r="H52" s="1126"/>
      <c r="I52" s="1126"/>
      <c r="J52" s="1126"/>
      <c r="K52" s="1126"/>
      <c r="L52" s="1126"/>
      <c r="M52" s="1126"/>
      <c r="N52" s="1126"/>
      <c r="O52" s="1126"/>
      <c r="P52" s="1126"/>
      <c r="Q52" s="1126"/>
      <c r="R52" s="1126"/>
      <c r="S52" s="1126"/>
      <c r="T52" s="1126"/>
      <c r="U52" s="1126"/>
      <c r="V52" s="1126"/>
      <c r="W52" s="1126"/>
      <c r="X52" s="1126"/>
      <c r="Y52" s="1126"/>
      <c r="Z52" s="1126"/>
      <c r="AA52" s="1126"/>
    </row>
    <row r="53" ht="15.75" customHeight="1">
      <c r="A53" s="1126"/>
      <c r="B53" s="1126"/>
      <c r="C53" s="1126"/>
      <c r="D53" s="1126"/>
      <c r="E53" s="1126"/>
      <c r="F53" s="1126"/>
      <c r="G53" s="1126"/>
      <c r="H53" s="1126"/>
      <c r="I53" s="1126"/>
      <c r="J53" s="1126"/>
      <c r="K53" s="1126"/>
      <c r="L53" s="1126"/>
      <c r="M53" s="1126"/>
      <c r="N53" s="1126"/>
      <c r="O53" s="1126"/>
      <c r="P53" s="1126"/>
      <c r="Q53" s="1126"/>
      <c r="R53" s="1126"/>
      <c r="S53" s="1126"/>
      <c r="T53" s="1126"/>
      <c r="U53" s="1126"/>
      <c r="V53" s="1126"/>
      <c r="W53" s="1126"/>
      <c r="X53" s="1126"/>
      <c r="Y53" s="1126"/>
      <c r="Z53" s="1126"/>
      <c r="AA53" s="1126"/>
    </row>
    <row r="54" ht="15.75" customHeight="1">
      <c r="A54" s="1126"/>
      <c r="B54" s="1126"/>
      <c r="C54" s="1126"/>
      <c r="D54" s="1126"/>
      <c r="E54" s="1126"/>
      <c r="F54" s="1126"/>
      <c r="G54" s="1126"/>
      <c r="H54" s="1126"/>
      <c r="I54" s="1126"/>
      <c r="J54" s="1126"/>
      <c r="K54" s="1126"/>
      <c r="L54" s="1126"/>
      <c r="M54" s="1126"/>
      <c r="N54" s="1126"/>
      <c r="O54" s="1126"/>
      <c r="P54" s="1126"/>
      <c r="Q54" s="1126"/>
      <c r="R54" s="1126"/>
      <c r="S54" s="1126"/>
      <c r="T54" s="1126"/>
      <c r="U54" s="1126"/>
      <c r="V54" s="1126"/>
      <c r="W54" s="1126"/>
      <c r="X54" s="1126"/>
      <c r="Y54" s="1126"/>
      <c r="Z54" s="1126"/>
      <c r="AA54" s="1126"/>
    </row>
    <row r="55" ht="15.75" customHeight="1">
      <c r="A55" s="1127" t="str">
        <f>IFERROR(__xludf.DUMMYFUNCTION("""COMPUTED_VALUE"""),"Dana Eksternal")</f>
        <v>Dana Eksternal</v>
      </c>
      <c r="B55" s="1126"/>
      <c r="C55" s="1126"/>
      <c r="D55" s="1126"/>
      <c r="E55" s="1126"/>
      <c r="F55" s="1126"/>
      <c r="G55" s="1126"/>
      <c r="H55" s="1126"/>
      <c r="I55" s="1126"/>
      <c r="J55" s="1126"/>
      <c r="K55" s="1126"/>
      <c r="L55" s="1126"/>
      <c r="M55" s="1136" t="s">
        <v>603</v>
      </c>
      <c r="N55" s="1126"/>
      <c r="O55" s="1126"/>
      <c r="P55" s="1126"/>
      <c r="Q55" s="1126"/>
      <c r="R55" s="1126"/>
      <c r="S55" s="1126"/>
      <c r="T55" s="1126"/>
      <c r="U55" s="1126"/>
      <c r="V55" s="1126"/>
      <c r="W55" s="1126"/>
      <c r="X55" s="1126"/>
      <c r="Y55" s="1126"/>
      <c r="Z55" s="1126"/>
      <c r="AA55" s="1126"/>
    </row>
    <row r="56" ht="15.75" customHeight="1">
      <c r="A56" s="1127" t="str">
        <f>IFERROR(__xludf.DUMMYFUNCTION("""COMPUTED_VALUE"""),"PNBP")</f>
        <v>PNBP</v>
      </c>
      <c r="B56" s="1130">
        <f>IFERROR(__xludf.DUMMYFUNCTION("""COMPUTED_VALUE"""),0.0)</f>
        <v>0</v>
      </c>
      <c r="C56" s="1126"/>
      <c r="D56" s="1126"/>
      <c r="E56" s="1126"/>
      <c r="F56" s="1126"/>
      <c r="G56" s="1126"/>
      <c r="H56" s="1126"/>
      <c r="I56" s="1126"/>
      <c r="J56" s="1126"/>
      <c r="K56" s="1126"/>
      <c r="L56" s="1126"/>
      <c r="M56" s="1126"/>
      <c r="N56" s="1126"/>
      <c r="O56" s="1126"/>
      <c r="P56" s="1126"/>
      <c r="Q56" s="1126"/>
      <c r="R56" s="1126"/>
      <c r="S56" s="1126"/>
      <c r="T56" s="1126"/>
      <c r="U56" s="1126"/>
      <c r="V56" s="1126"/>
      <c r="W56" s="1126"/>
      <c r="X56" s="1126"/>
      <c r="Y56" s="1126"/>
      <c r="Z56" s="1126"/>
      <c r="AA56" s="1126"/>
    </row>
    <row r="57" ht="15.75" customHeight="1">
      <c r="A57" s="1127" t="str">
        <f>IFERROR(__xludf.DUMMYFUNCTION("""COMPUTED_VALUE"""),"HIBAH")</f>
        <v>HIBAH</v>
      </c>
      <c r="B57" s="1130">
        <f>IFERROR(__xludf.DUMMYFUNCTION("""COMPUTED_VALUE"""),0.0)</f>
        <v>0</v>
      </c>
      <c r="C57" s="1126"/>
      <c r="D57" s="1126"/>
      <c r="E57" s="1126"/>
      <c r="F57" s="1126"/>
      <c r="G57" s="1126"/>
      <c r="H57" s="1126"/>
      <c r="I57" s="1126"/>
      <c r="J57" s="1126"/>
      <c r="K57" s="1126"/>
      <c r="L57" s="1126"/>
      <c r="M57" s="1126"/>
      <c r="N57" s="1126"/>
      <c r="O57" s="1126"/>
      <c r="P57" s="1126"/>
      <c r="Q57" s="1126"/>
      <c r="R57" s="1126"/>
      <c r="S57" s="1126"/>
      <c r="T57" s="1126"/>
      <c r="U57" s="1126"/>
      <c r="V57" s="1126"/>
      <c r="W57" s="1126"/>
      <c r="X57" s="1126"/>
      <c r="Y57" s="1126"/>
      <c r="Z57" s="1126"/>
      <c r="AA57" s="1126"/>
    </row>
    <row r="58" ht="15.75" customHeight="1">
      <c r="A58" s="1127" t="str">
        <f>IFERROR(__xludf.DUMMYFUNCTION("""COMPUTED_VALUE"""),"MITRA/UNIVERSITAS")</f>
        <v>MITRA/UNIVERSITAS</v>
      </c>
      <c r="B58" s="1130">
        <f>IFERROR(__xludf.DUMMYFUNCTION("""COMPUTED_VALUE"""),2.9E7)</f>
        <v>29000000</v>
      </c>
      <c r="C58" s="1126"/>
      <c r="D58" s="1126"/>
      <c r="E58" s="1126"/>
      <c r="F58" s="1126"/>
      <c r="G58" s="1126"/>
      <c r="H58" s="1126"/>
      <c r="I58" s="1126"/>
      <c r="J58" s="1126"/>
      <c r="K58" s="1126"/>
      <c r="L58" s="1126"/>
      <c r="M58" s="1126"/>
      <c r="N58" s="1126"/>
      <c r="O58" s="1126"/>
      <c r="P58" s="1126"/>
      <c r="Q58" s="1126"/>
      <c r="R58" s="1126"/>
      <c r="S58" s="1126"/>
      <c r="T58" s="1126"/>
      <c r="U58" s="1126"/>
      <c r="V58" s="1126"/>
      <c r="W58" s="1126"/>
      <c r="X58" s="1126"/>
      <c r="Y58" s="1126"/>
      <c r="Z58" s="1126"/>
      <c r="AA58" s="1126"/>
    </row>
    <row r="59" ht="15.75" customHeight="1">
      <c r="A59" s="1127" t="str">
        <f>IFERROR(__xludf.DUMMYFUNCTION("""COMPUTED_VALUE"""),"POSTDOC")</f>
        <v>POSTDOC</v>
      </c>
      <c r="B59" s="1130">
        <f>IFERROR(__xludf.DUMMYFUNCTION("""COMPUTED_VALUE"""),0.0)</f>
        <v>0</v>
      </c>
      <c r="C59" s="1126"/>
      <c r="D59" s="1126"/>
      <c r="E59" s="1126"/>
      <c r="F59" s="1126"/>
      <c r="G59" s="1126"/>
      <c r="H59" s="1126"/>
      <c r="I59" s="1126"/>
      <c r="J59" s="1126"/>
      <c r="K59" s="1126"/>
      <c r="L59" s="1126"/>
      <c r="M59" s="1126"/>
      <c r="N59" s="1126"/>
      <c r="O59" s="1126"/>
      <c r="P59" s="1126"/>
      <c r="Q59" s="1126"/>
      <c r="R59" s="1126"/>
      <c r="S59" s="1126"/>
      <c r="T59" s="1126"/>
      <c r="U59" s="1126"/>
      <c r="V59" s="1126"/>
      <c r="W59" s="1126"/>
      <c r="X59" s="1126"/>
      <c r="Y59" s="1126"/>
      <c r="Z59" s="1126"/>
      <c r="AA59" s="1126"/>
    </row>
    <row r="60" ht="15.75" customHeight="1">
      <c r="A60" s="1127" t="str">
        <f>IFERROR(__xludf.DUMMYFUNCTION("""COMPUTED_VALUE"""),"VISITING RESEARCH")</f>
        <v>VISITING RESEARCH</v>
      </c>
      <c r="B60" s="1130">
        <f>IFERROR(__xludf.DUMMYFUNCTION("""COMPUTED_VALUE"""),0.0)</f>
        <v>0</v>
      </c>
      <c r="C60" s="1126"/>
      <c r="D60" s="1126"/>
      <c r="E60" s="1126"/>
      <c r="F60" s="1126"/>
      <c r="G60" s="1126"/>
      <c r="H60" s="1126"/>
      <c r="I60" s="1126"/>
      <c r="J60" s="1126"/>
      <c r="K60" s="1126"/>
      <c r="L60" s="1126"/>
      <c r="M60" s="1126"/>
      <c r="N60" s="1126"/>
      <c r="O60" s="1126"/>
      <c r="P60" s="1126"/>
      <c r="Q60" s="1126"/>
      <c r="R60" s="1126"/>
      <c r="S60" s="1126"/>
      <c r="T60" s="1126"/>
      <c r="U60" s="1126"/>
      <c r="V60" s="1126"/>
      <c r="W60" s="1126"/>
      <c r="X60" s="1126"/>
      <c r="Y60" s="1126"/>
      <c r="Z60" s="1126"/>
      <c r="AA60" s="1126"/>
    </row>
    <row r="61" ht="15.75" customHeight="1">
      <c r="A61" s="1127" t="str">
        <f>IFERROR(__xludf.DUMMYFUNCTION("""COMPUTED_VALUE"""),"RIIM")</f>
        <v>RIIM</v>
      </c>
      <c r="B61" s="1130">
        <f>IFERROR(__xludf.DUMMYFUNCTION("""COMPUTED_VALUE"""),4.91E8)</f>
        <v>491000000</v>
      </c>
      <c r="C61" s="1126"/>
      <c r="D61" s="1126"/>
      <c r="E61" s="1126"/>
      <c r="F61" s="1126"/>
      <c r="G61" s="1126"/>
      <c r="H61" s="1126"/>
      <c r="I61" s="1126"/>
      <c r="J61" s="1126"/>
      <c r="K61" s="1126"/>
      <c r="L61" s="1126"/>
      <c r="M61" s="1126"/>
      <c r="N61" s="1126"/>
      <c r="O61" s="1126"/>
      <c r="P61" s="1126"/>
      <c r="Q61" s="1126"/>
      <c r="R61" s="1126"/>
      <c r="S61" s="1126"/>
      <c r="T61" s="1126"/>
      <c r="U61" s="1126"/>
      <c r="V61" s="1126"/>
      <c r="W61" s="1126"/>
      <c r="X61" s="1126"/>
      <c r="Y61" s="1126"/>
      <c r="Z61" s="1126"/>
      <c r="AA61" s="1126"/>
    </row>
    <row r="62" ht="15.75" customHeight="1">
      <c r="A62" s="1127" t="str">
        <f>IFERROR(__xludf.DUMMYFUNCTION("""COMPUTED_VALUE"""),"LISENSI")</f>
        <v>LISENSI</v>
      </c>
      <c r="B62" s="1130">
        <f>IFERROR(__xludf.DUMMYFUNCTION("""COMPUTED_VALUE"""),0.0)</f>
        <v>0</v>
      </c>
      <c r="C62" s="1126"/>
      <c r="D62" s="1126"/>
      <c r="E62" s="1126"/>
      <c r="F62" s="1126"/>
      <c r="G62" s="1126"/>
      <c r="H62" s="1126"/>
      <c r="I62" s="1126"/>
      <c r="J62" s="1126"/>
      <c r="K62" s="1126"/>
      <c r="L62" s="1126"/>
      <c r="M62" s="1126"/>
      <c r="N62" s="1126"/>
      <c r="O62" s="1126"/>
      <c r="P62" s="1126"/>
      <c r="Q62" s="1126"/>
      <c r="R62" s="1126"/>
      <c r="S62" s="1126"/>
      <c r="T62" s="1126"/>
      <c r="U62" s="1126"/>
      <c r="V62" s="1126"/>
      <c r="W62" s="1126"/>
      <c r="X62" s="1126"/>
      <c r="Y62" s="1126"/>
      <c r="Z62" s="1126"/>
      <c r="AA62" s="1126"/>
    </row>
    <row r="63" ht="15.75" customHeight="1">
      <c r="A63" s="1127" t="str">
        <f>IFERROR(__xludf.DUMMYFUNCTION("""COMPUTED_VALUE"""),"DALAM NEGERI")</f>
        <v>DALAM NEGERI</v>
      </c>
      <c r="B63" s="1130">
        <f>IFERROR(__xludf.DUMMYFUNCTION("""COMPUTED_VALUE"""),5.2E8)</f>
        <v>520000000</v>
      </c>
      <c r="C63" s="1126"/>
      <c r="D63" s="1126"/>
      <c r="E63" s="1126"/>
      <c r="F63" s="1126"/>
      <c r="G63" s="1126"/>
      <c r="H63" s="1126"/>
      <c r="I63" s="1126"/>
      <c r="J63" s="1126"/>
      <c r="K63" s="1126"/>
      <c r="L63" s="1126"/>
      <c r="M63" s="1126"/>
      <c r="N63" s="1126"/>
      <c r="O63" s="1126"/>
      <c r="P63" s="1126"/>
      <c r="Q63" s="1126"/>
      <c r="R63" s="1126"/>
      <c r="S63" s="1126"/>
      <c r="T63" s="1126"/>
      <c r="U63" s="1126"/>
      <c r="V63" s="1126"/>
      <c r="W63" s="1126"/>
      <c r="X63" s="1126"/>
      <c r="Y63" s="1126"/>
      <c r="Z63" s="1126"/>
      <c r="AA63" s="1126"/>
    </row>
    <row r="64" ht="15.75" customHeight="1">
      <c r="A64" s="1127" t="str">
        <f>IFERROR(__xludf.DUMMYFUNCTION("""COMPUTED_VALUE"""),"LUAR NEGERI")</f>
        <v>LUAR NEGERI</v>
      </c>
      <c r="B64" s="1130">
        <f>IFERROR(__xludf.DUMMYFUNCTION("""COMPUTED_VALUE"""),3.69E7)</f>
        <v>36900000</v>
      </c>
      <c r="C64" s="1126"/>
      <c r="D64" s="1126"/>
      <c r="E64" s="1126"/>
      <c r="F64" s="1126"/>
      <c r="G64" s="1126"/>
      <c r="H64" s="1126"/>
      <c r="I64" s="1126"/>
      <c r="J64" s="1126"/>
      <c r="K64" s="1126"/>
      <c r="L64" s="1126"/>
      <c r="M64" s="1126"/>
      <c r="N64" s="1126"/>
      <c r="O64" s="1126"/>
      <c r="P64" s="1126"/>
      <c r="Q64" s="1126"/>
      <c r="R64" s="1126"/>
      <c r="S64" s="1126"/>
      <c r="T64" s="1126"/>
      <c r="U64" s="1126"/>
      <c r="V64" s="1126"/>
      <c r="W64" s="1126"/>
      <c r="X64" s="1126"/>
      <c r="Y64" s="1126"/>
      <c r="Z64" s="1126"/>
      <c r="AA64" s="1126"/>
    </row>
    <row r="65" ht="15.75" customHeight="1">
      <c r="A65" s="1127" t="str">
        <f>IFERROR(__xludf.DUMMYFUNCTION("""COMPUTED_VALUE"""),"IN CASH")</f>
        <v>IN CASH</v>
      </c>
      <c r="B65" s="1126"/>
      <c r="C65" s="1126"/>
      <c r="D65" s="1126"/>
      <c r="E65" s="1126"/>
      <c r="F65" s="1126"/>
      <c r="G65" s="1126"/>
      <c r="H65" s="1126"/>
      <c r="I65" s="1126"/>
      <c r="J65" s="1126"/>
      <c r="K65" s="1126"/>
      <c r="L65" s="1126"/>
      <c r="M65" s="1126"/>
      <c r="N65" s="1126"/>
      <c r="O65" s="1126"/>
      <c r="P65" s="1126"/>
      <c r="Q65" s="1126"/>
      <c r="R65" s="1126"/>
      <c r="S65" s="1126"/>
      <c r="T65" s="1126"/>
      <c r="U65" s="1126"/>
      <c r="V65" s="1126"/>
      <c r="W65" s="1126"/>
      <c r="X65" s="1126"/>
      <c r="Y65" s="1126"/>
      <c r="Z65" s="1126"/>
      <c r="AA65" s="1126"/>
    </row>
    <row r="66" ht="15.75" customHeight="1">
      <c r="A66" s="1127" t="str">
        <f>IFERROR(__xludf.DUMMYFUNCTION("""COMPUTED_VALUE"""),"IN KIND")</f>
        <v>IN KIND</v>
      </c>
      <c r="B66" s="1126"/>
      <c r="C66" s="1126"/>
      <c r="D66" s="1126"/>
      <c r="E66" s="1126"/>
      <c r="F66" s="1126"/>
      <c r="G66" s="1126"/>
      <c r="H66" s="1126"/>
      <c r="I66" s="1126"/>
      <c r="J66" s="1126"/>
      <c r="K66" s="1126"/>
      <c r="L66" s="1126"/>
      <c r="M66" s="1126"/>
      <c r="N66" s="1126"/>
      <c r="O66" s="1126"/>
      <c r="P66" s="1126"/>
      <c r="Q66" s="1126"/>
      <c r="R66" s="1126"/>
      <c r="S66" s="1126"/>
      <c r="T66" s="1126"/>
      <c r="U66" s="1126"/>
      <c r="V66" s="1126"/>
      <c r="W66" s="1126"/>
      <c r="X66" s="1126"/>
      <c r="Y66" s="1126"/>
      <c r="Z66" s="1126"/>
      <c r="AA66" s="1126"/>
    </row>
    <row r="67" ht="15.75" customHeight="1">
      <c r="A67" s="1127" t="str">
        <f>IFERROR(__xludf.DUMMYFUNCTION("""COMPUTED_VALUE"""),"SDM Iptek S2-S3")</f>
        <v>SDM Iptek S2-S3</v>
      </c>
      <c r="B67" s="1126"/>
      <c r="C67" s="1126"/>
      <c r="D67" s="1126"/>
      <c r="E67" s="1127" t="str">
        <f>IFERROR(__xludf.DUMMYFUNCTION("""COMPUTED_VALUE"""),"S2")</f>
        <v>S2</v>
      </c>
      <c r="F67" s="1127" t="str">
        <f>IFERROR(__xludf.DUMMYFUNCTION("""COMPUTED_VALUE"""),"S3")</f>
        <v>S3</v>
      </c>
      <c r="G67" s="1127" t="str">
        <f>IFERROR(__xludf.DUMMYFUNCTION("""COMPUTED_VALUE"""),"IB")</f>
        <v>IB</v>
      </c>
      <c r="H67" s="1127" t="str">
        <f>IFERROR(__xludf.DUMMYFUNCTION("""COMPUTED_VALUE"""),"TB")</f>
        <v>TB</v>
      </c>
      <c r="I67" s="1126"/>
      <c r="J67" s="1126"/>
      <c r="K67" s="1126"/>
      <c r="L67" s="1126"/>
      <c r="M67" s="1136" t="s">
        <v>966</v>
      </c>
      <c r="N67" s="1126"/>
      <c r="O67" s="1126"/>
      <c r="P67" s="1126"/>
      <c r="Q67" s="1126"/>
      <c r="R67" s="1126"/>
      <c r="S67" s="1126"/>
      <c r="T67" s="1126"/>
      <c r="U67" s="1126"/>
      <c r="V67" s="1126"/>
      <c r="W67" s="1126"/>
      <c r="X67" s="1126"/>
      <c r="Y67" s="1126"/>
      <c r="Z67" s="1126"/>
      <c r="AA67" s="1126"/>
    </row>
    <row r="68" ht="15.75" customHeight="1">
      <c r="A68" s="1127" t="str">
        <f>IFERROR(__xludf.DUMMYFUNCTION("""COMPUTED_VALUE"""),"S2")</f>
        <v>S2</v>
      </c>
      <c r="B68" s="1128">
        <f>IFERROR(__xludf.DUMMYFUNCTION("""COMPUTED_VALUE"""),1.0)</f>
        <v>1</v>
      </c>
      <c r="C68" s="1126"/>
      <c r="D68" s="1126"/>
      <c r="E68" s="1128">
        <f>IFERROR(__xludf.DUMMYFUNCTION("""COMPUTED_VALUE"""),40.0)</f>
        <v>40</v>
      </c>
      <c r="F68" s="1128">
        <f>IFERROR(__xludf.DUMMYFUNCTION("""COMPUTED_VALUE"""),36.0)</f>
        <v>36</v>
      </c>
      <c r="G68" s="1128">
        <f>IFERROR(__xludf.DUMMYFUNCTION("""COMPUTED_VALUE"""),22.0)</f>
        <v>22</v>
      </c>
      <c r="H68" s="1128">
        <f>IFERROR(__xludf.DUMMYFUNCTION("""COMPUTED_VALUE"""),54.0)</f>
        <v>54</v>
      </c>
      <c r="I68" s="1126"/>
      <c r="J68" s="1126"/>
      <c r="K68" s="1126"/>
      <c r="L68" s="1126"/>
      <c r="M68" s="1126"/>
      <c r="N68" s="1126"/>
      <c r="O68" s="1126"/>
      <c r="P68" s="1126"/>
      <c r="Q68" s="1126"/>
      <c r="R68" s="1126"/>
      <c r="S68" s="1126"/>
      <c r="T68" s="1126"/>
      <c r="U68" s="1126"/>
      <c r="V68" s="1126"/>
      <c r="W68" s="1126"/>
      <c r="X68" s="1126"/>
      <c r="Y68" s="1126"/>
      <c r="Z68" s="1126"/>
      <c r="AA68" s="1126"/>
    </row>
    <row r="69" ht="15.75" customHeight="1">
      <c r="A69" s="1127" t="str">
        <f>IFERROR(__xludf.DUMMYFUNCTION("""COMPUTED_VALUE"""),"S3")</f>
        <v>S3</v>
      </c>
      <c r="B69" s="1128">
        <f>IFERROR(__xludf.DUMMYFUNCTION("""COMPUTED_VALUE"""),0.0)</f>
        <v>0</v>
      </c>
      <c r="C69" s="1126"/>
      <c r="D69" s="1126"/>
      <c r="E69" s="1126"/>
      <c r="F69" s="1126"/>
      <c r="G69" s="1126"/>
      <c r="H69" s="1126"/>
      <c r="I69" s="1126"/>
      <c r="J69" s="1126"/>
      <c r="K69" s="1126"/>
      <c r="L69" s="1126"/>
      <c r="M69" s="1126"/>
      <c r="N69" s="1126"/>
      <c r="O69" s="1126"/>
      <c r="P69" s="1126"/>
      <c r="Q69" s="1126"/>
      <c r="R69" s="1126"/>
      <c r="S69" s="1126"/>
      <c r="T69" s="1126"/>
      <c r="U69" s="1126"/>
      <c r="V69" s="1126"/>
      <c r="W69" s="1126"/>
      <c r="X69" s="1126"/>
      <c r="Y69" s="1126"/>
      <c r="Z69" s="1126"/>
      <c r="AA69" s="1126"/>
    </row>
    <row r="70" ht="15.75" customHeight="1">
      <c r="A70" s="1127" t="str">
        <f>IFERROR(__xludf.DUMMYFUNCTION("""COMPUTED_VALUE"""),"Ijin Belajar")</f>
        <v>Ijin Belajar</v>
      </c>
      <c r="B70" s="1128">
        <f>IFERROR(__xludf.DUMMYFUNCTION("""COMPUTED_VALUE"""),0.0)</f>
        <v>0</v>
      </c>
      <c r="C70" s="1126"/>
      <c r="D70" s="1126"/>
      <c r="E70" s="1126"/>
      <c r="F70" s="1126"/>
      <c r="G70" s="1126"/>
      <c r="H70" s="1126"/>
      <c r="I70" s="1126"/>
      <c r="J70" s="1126"/>
      <c r="K70" s="1126"/>
      <c r="L70" s="1126"/>
      <c r="M70" s="1126"/>
      <c r="N70" s="1126"/>
      <c r="O70" s="1126"/>
      <c r="P70" s="1126"/>
      <c r="Q70" s="1126"/>
      <c r="R70" s="1126"/>
      <c r="S70" s="1126"/>
      <c r="T70" s="1126"/>
      <c r="U70" s="1126"/>
      <c r="V70" s="1126"/>
      <c r="W70" s="1126"/>
      <c r="X70" s="1126"/>
      <c r="Y70" s="1126"/>
      <c r="Z70" s="1126"/>
      <c r="AA70" s="1126"/>
    </row>
    <row r="71" ht="15.75" customHeight="1">
      <c r="A71" s="1127" t="str">
        <f>IFERROR(__xludf.DUMMYFUNCTION("""COMPUTED_VALUE"""),"Tugas Belajar")</f>
        <v>Tugas Belajar</v>
      </c>
      <c r="B71" s="1128">
        <f>IFERROR(__xludf.DUMMYFUNCTION("""COMPUTED_VALUE"""),1.0)</f>
        <v>1</v>
      </c>
      <c r="C71" s="1126"/>
      <c r="D71" s="1126"/>
      <c r="E71" s="1126"/>
      <c r="F71" s="1126"/>
      <c r="G71" s="1126"/>
      <c r="H71" s="1126"/>
      <c r="I71" s="1126"/>
      <c r="J71" s="1126"/>
      <c r="K71" s="1126"/>
      <c r="L71" s="1126"/>
      <c r="M71" s="1126"/>
      <c r="N71" s="1126"/>
      <c r="O71" s="1126"/>
      <c r="P71" s="1126"/>
      <c r="Q71" s="1126"/>
      <c r="R71" s="1126"/>
      <c r="S71" s="1126"/>
      <c r="T71" s="1126"/>
      <c r="U71" s="1126"/>
      <c r="V71" s="1126"/>
      <c r="W71" s="1126"/>
      <c r="X71" s="1126"/>
      <c r="Y71" s="1126"/>
      <c r="Z71" s="1126"/>
      <c r="AA71" s="1126"/>
    </row>
    <row r="72" ht="15.75" customHeight="1">
      <c r="A72" s="1126"/>
      <c r="B72" s="1126"/>
      <c r="C72" s="1126"/>
      <c r="D72" s="1126"/>
      <c r="E72" s="1126"/>
      <c r="F72" s="1126"/>
      <c r="G72" s="1126"/>
      <c r="H72" s="1126"/>
      <c r="I72" s="1126"/>
      <c r="J72" s="1126"/>
      <c r="K72" s="1126"/>
      <c r="L72" s="1126"/>
      <c r="M72" s="1126"/>
      <c r="N72" s="1126"/>
      <c r="O72" s="1126"/>
      <c r="P72" s="1126"/>
      <c r="Q72" s="1126"/>
      <c r="R72" s="1126"/>
      <c r="S72" s="1126"/>
      <c r="T72" s="1126"/>
      <c r="U72" s="1126"/>
      <c r="V72" s="1126"/>
      <c r="W72" s="1126"/>
      <c r="X72" s="1126"/>
      <c r="Y72" s="1126"/>
      <c r="Z72" s="1126"/>
      <c r="AA72" s="1126"/>
    </row>
    <row r="73" ht="15.75" customHeight="1">
      <c r="A73" s="1126"/>
      <c r="B73" s="1126"/>
      <c r="C73" s="1126"/>
      <c r="D73" s="1126"/>
      <c r="E73" s="1126"/>
      <c r="F73" s="1126"/>
      <c r="G73" s="1126"/>
      <c r="H73" s="1126"/>
      <c r="I73" s="1126"/>
      <c r="J73" s="1126"/>
      <c r="K73" s="1126"/>
      <c r="L73" s="1126"/>
      <c r="M73" s="1126"/>
      <c r="N73" s="1126"/>
      <c r="O73" s="1126"/>
      <c r="P73" s="1126"/>
      <c r="Q73" s="1126"/>
      <c r="R73" s="1126"/>
      <c r="S73" s="1126"/>
      <c r="T73" s="1126"/>
      <c r="U73" s="1126"/>
      <c r="V73" s="1126"/>
      <c r="W73" s="1126"/>
      <c r="X73" s="1126"/>
      <c r="Y73" s="1126"/>
      <c r="Z73" s="1126"/>
      <c r="AA73" s="1126"/>
    </row>
    <row r="74" ht="15.75" customHeight="1">
      <c r="A74" s="1127" t="s">
        <v>967</v>
      </c>
      <c r="B74" s="1126"/>
      <c r="C74" s="1126"/>
      <c r="D74" s="1126"/>
      <c r="E74" s="1126"/>
      <c r="F74" s="1126"/>
      <c r="G74" s="1126"/>
      <c r="H74" s="1126"/>
      <c r="I74" s="1126"/>
      <c r="J74" s="1126"/>
      <c r="K74" s="1126"/>
      <c r="L74" s="1126"/>
      <c r="M74" s="1136" t="s">
        <v>967</v>
      </c>
      <c r="N74" s="1126"/>
      <c r="O74" s="1126"/>
      <c r="P74" s="1126"/>
      <c r="Q74" s="1126"/>
      <c r="R74" s="1126"/>
      <c r="S74" s="1126"/>
      <c r="T74" s="1126"/>
      <c r="U74" s="1126"/>
      <c r="V74" s="1126"/>
      <c r="W74" s="1126"/>
      <c r="X74" s="1126"/>
      <c r="Y74" s="1126"/>
      <c r="Z74" s="1126"/>
      <c r="AA74" s="1126"/>
    </row>
    <row r="75" ht="15.75" customHeight="1">
      <c r="A75" s="1126"/>
      <c r="B75" s="1126"/>
      <c r="C75" s="1126"/>
      <c r="D75" s="1126"/>
      <c r="E75" s="1126"/>
      <c r="F75" s="1126"/>
      <c r="G75" s="1126"/>
      <c r="H75" s="1126"/>
      <c r="I75" s="1126"/>
      <c r="J75" s="1126"/>
      <c r="K75" s="1126"/>
      <c r="L75" s="1126"/>
      <c r="M75" s="1126"/>
      <c r="N75" s="1126"/>
      <c r="O75" s="1126"/>
      <c r="P75" s="1126"/>
      <c r="Q75" s="1126"/>
      <c r="R75" s="1126"/>
      <c r="S75" s="1126"/>
      <c r="T75" s="1126"/>
      <c r="U75" s="1126"/>
      <c r="V75" s="1126"/>
      <c r="W75" s="1126"/>
      <c r="X75" s="1126"/>
      <c r="Y75" s="1126"/>
      <c r="Z75" s="1126"/>
      <c r="AA75" s="1126"/>
    </row>
    <row r="76" ht="15.75" customHeight="1">
      <c r="A76" s="1126"/>
      <c r="B76" s="1126"/>
      <c r="C76" s="1126"/>
      <c r="D76" s="1126"/>
      <c r="E76" s="1126"/>
      <c r="F76" s="1126"/>
      <c r="G76" s="1126"/>
      <c r="H76" s="1126"/>
      <c r="I76" s="1126"/>
      <c r="J76" s="1126"/>
      <c r="K76" s="1126"/>
      <c r="L76" s="1126"/>
      <c r="M76" s="1126"/>
      <c r="N76" s="1126"/>
      <c r="O76" s="1126"/>
      <c r="P76" s="1126"/>
      <c r="Q76" s="1126"/>
      <c r="R76" s="1126"/>
      <c r="S76" s="1126"/>
      <c r="T76" s="1126"/>
      <c r="U76" s="1126"/>
      <c r="V76" s="1126"/>
      <c r="W76" s="1126"/>
      <c r="X76" s="1126"/>
      <c r="Y76" s="1126"/>
      <c r="Z76" s="1126"/>
      <c r="AA76" s="1126"/>
    </row>
    <row r="77" ht="15.75" customHeight="1">
      <c r="A77" s="1126"/>
      <c r="B77" s="1126"/>
      <c r="C77" s="1126"/>
      <c r="D77" s="1126"/>
      <c r="E77" s="1126"/>
      <c r="F77" s="1126"/>
      <c r="G77" s="1126"/>
      <c r="H77" s="1126"/>
      <c r="I77" s="1126"/>
      <c r="J77" s="1126"/>
      <c r="K77" s="1126"/>
      <c r="L77" s="1126"/>
      <c r="M77" s="1126"/>
      <c r="N77" s="1126"/>
      <c r="O77" s="1126"/>
      <c r="P77" s="1126"/>
      <c r="Q77" s="1126"/>
      <c r="R77" s="1126"/>
      <c r="S77" s="1126"/>
      <c r="T77" s="1126"/>
      <c r="U77" s="1126"/>
      <c r="V77" s="1126"/>
      <c r="W77" s="1126"/>
      <c r="X77" s="1126"/>
      <c r="Y77" s="1126"/>
      <c r="Z77" s="1126"/>
      <c r="AA77" s="1126"/>
    </row>
    <row r="78" ht="15.75" customHeight="1">
      <c r="A78" s="1126"/>
      <c r="B78" s="1126"/>
      <c r="C78" s="1126"/>
      <c r="D78" s="1126"/>
      <c r="E78" s="1126"/>
      <c r="F78" s="1126"/>
      <c r="G78" s="1126"/>
      <c r="H78" s="1126"/>
      <c r="I78" s="1126"/>
      <c r="J78" s="1126"/>
      <c r="K78" s="1126"/>
      <c r="L78" s="1136" t="s">
        <v>968</v>
      </c>
      <c r="M78" s="1126"/>
      <c r="N78" s="1126"/>
      <c r="O78" s="1126"/>
      <c r="P78" s="1126"/>
      <c r="Q78" s="1126"/>
      <c r="R78" s="1126"/>
      <c r="S78" s="1126"/>
      <c r="T78" s="1126"/>
      <c r="U78" s="1126"/>
      <c r="V78" s="1126"/>
      <c r="W78" s="1126"/>
      <c r="X78" s="1126"/>
      <c r="Y78" s="1126"/>
      <c r="Z78" s="1126"/>
      <c r="AA78" s="1126"/>
    </row>
    <row r="79" ht="15.75" customHeight="1">
      <c r="A79" s="1127" t="s">
        <v>968</v>
      </c>
      <c r="B79" s="1126"/>
      <c r="C79" s="1126"/>
      <c r="D79" s="1126"/>
      <c r="E79" s="1126"/>
      <c r="F79" s="1126"/>
      <c r="G79" s="1126"/>
      <c r="H79" s="1126"/>
      <c r="I79" s="1126"/>
      <c r="J79" s="1126"/>
      <c r="K79" s="1126"/>
      <c r="L79" s="1126"/>
      <c r="M79" s="1126"/>
      <c r="N79" s="1126"/>
      <c r="O79" s="1126"/>
      <c r="P79" s="1126"/>
      <c r="Q79" s="1126"/>
      <c r="R79" s="1126"/>
      <c r="S79" s="1126"/>
      <c r="T79" s="1126"/>
      <c r="U79" s="1126"/>
      <c r="V79" s="1126"/>
      <c r="W79" s="1126"/>
      <c r="X79" s="1126"/>
      <c r="Y79" s="1126"/>
      <c r="Z79" s="1126"/>
      <c r="AA79" s="1126"/>
    </row>
    <row r="80" ht="15.75" customHeight="1">
      <c r="A80" s="1126"/>
      <c r="B80" s="1126"/>
      <c r="C80" s="1126"/>
      <c r="D80" s="1126"/>
      <c r="E80" s="1126"/>
      <c r="F80" s="1126"/>
      <c r="G80" s="1126"/>
      <c r="H80" s="1126"/>
      <c r="I80" s="1126"/>
      <c r="J80" s="1126"/>
      <c r="K80" s="1126"/>
      <c r="L80" s="1126"/>
      <c r="M80" s="1126"/>
      <c r="N80" s="1126"/>
      <c r="O80" s="1126"/>
      <c r="P80" s="1126"/>
      <c r="Q80" s="1126"/>
      <c r="R80" s="1126"/>
      <c r="S80" s="1126"/>
      <c r="T80" s="1126"/>
      <c r="U80" s="1126"/>
      <c r="V80" s="1126"/>
      <c r="W80" s="1126"/>
      <c r="X80" s="1126"/>
      <c r="Y80" s="1126"/>
      <c r="Z80" s="1126"/>
      <c r="AA80" s="1126"/>
    </row>
    <row r="81" ht="15.75" customHeight="1">
      <c r="A81" s="1126"/>
      <c r="B81" s="1126"/>
      <c r="C81" s="1126"/>
      <c r="D81" s="1126"/>
      <c r="E81" s="1126"/>
      <c r="F81" s="1126"/>
      <c r="G81" s="1126"/>
      <c r="H81" s="1126"/>
      <c r="I81" s="1126"/>
      <c r="J81" s="1126"/>
      <c r="K81" s="1126"/>
      <c r="L81" s="1126"/>
      <c r="M81" s="1126"/>
      <c r="N81" s="1126"/>
      <c r="O81" s="1126"/>
      <c r="P81" s="1126"/>
      <c r="Q81" s="1126"/>
      <c r="R81" s="1126"/>
      <c r="S81" s="1126"/>
      <c r="T81" s="1126"/>
      <c r="U81" s="1126"/>
      <c r="V81" s="1126"/>
      <c r="W81" s="1126"/>
      <c r="X81" s="1126"/>
      <c r="Y81" s="1126"/>
      <c r="Z81" s="1126"/>
      <c r="AA81" s="1126"/>
    </row>
    <row r="82" ht="15.75" customHeight="1">
      <c r="A82" s="1126"/>
      <c r="B82" s="1126"/>
      <c r="C82" s="1126"/>
      <c r="D82" s="1126"/>
      <c r="E82" s="1126"/>
      <c r="F82" s="1126"/>
      <c r="G82" s="1126"/>
      <c r="H82" s="1126"/>
      <c r="I82" s="1126"/>
      <c r="J82" s="1126"/>
      <c r="K82" s="1126"/>
      <c r="L82" s="1126"/>
      <c r="M82" s="1126"/>
      <c r="N82" s="1126"/>
      <c r="O82" s="1126"/>
      <c r="P82" s="1126"/>
      <c r="Q82" s="1126"/>
      <c r="R82" s="1126"/>
      <c r="S82" s="1126"/>
      <c r="T82" s="1126"/>
      <c r="U82" s="1126"/>
      <c r="V82" s="1126"/>
      <c r="W82" s="1126"/>
      <c r="X82" s="1126"/>
      <c r="Y82" s="1126"/>
      <c r="Z82" s="1126"/>
      <c r="AA82" s="1126"/>
    </row>
    <row r="83" ht="15.75" customHeight="1">
      <c r="A83" s="1126"/>
      <c r="B83" s="1126"/>
      <c r="C83" s="1126"/>
      <c r="D83" s="1126"/>
      <c r="E83" s="1126"/>
      <c r="F83" s="1126"/>
      <c r="G83" s="1126"/>
      <c r="H83" s="1126"/>
      <c r="I83" s="1126"/>
      <c r="J83" s="1126"/>
      <c r="K83" s="1126"/>
      <c r="L83" s="1126"/>
      <c r="M83" s="1126"/>
      <c r="N83" s="1126"/>
      <c r="O83" s="1126"/>
      <c r="P83" s="1126"/>
      <c r="Q83" s="1126"/>
      <c r="R83" s="1126"/>
      <c r="S83" s="1126"/>
      <c r="T83" s="1126"/>
      <c r="U83" s="1126"/>
      <c r="V83" s="1126"/>
      <c r="W83" s="1126"/>
      <c r="X83" s="1126"/>
      <c r="Y83" s="1126"/>
      <c r="Z83" s="1126"/>
      <c r="AA83" s="1126"/>
    </row>
    <row r="84" ht="15.75" customHeight="1">
      <c r="A84" s="1126" t="s">
        <v>694</v>
      </c>
      <c r="B84" s="1126"/>
      <c r="C84" s="1126"/>
      <c r="D84" s="1126"/>
      <c r="E84" s="1126"/>
      <c r="F84" s="1126"/>
      <c r="G84" s="1126"/>
      <c r="H84" s="1126"/>
      <c r="I84" s="1126"/>
      <c r="J84" s="1126"/>
      <c r="K84" s="1126"/>
      <c r="L84" s="1126"/>
      <c r="M84" s="1126"/>
      <c r="N84" s="1126"/>
      <c r="O84" s="1126"/>
      <c r="P84" s="1126"/>
      <c r="Q84" s="1126"/>
      <c r="R84" s="1126"/>
      <c r="S84" s="1126"/>
      <c r="T84" s="1126"/>
      <c r="U84" s="1126"/>
      <c r="V84" s="1126"/>
      <c r="W84" s="1126"/>
      <c r="X84" s="1126"/>
      <c r="Y84" s="1126"/>
      <c r="Z84" s="1126"/>
      <c r="AA84" s="1126"/>
    </row>
    <row r="85" ht="15.75" customHeight="1">
      <c r="A85" s="1126" t="s">
        <v>969</v>
      </c>
      <c r="B85" s="1126"/>
      <c r="C85" s="1126"/>
      <c r="D85" s="1126"/>
      <c r="E85" s="1126"/>
      <c r="F85" s="1126"/>
      <c r="G85" s="1126"/>
      <c r="H85" s="1126"/>
      <c r="I85" s="1126"/>
      <c r="J85" s="1126"/>
      <c r="K85" s="1126"/>
      <c r="L85" s="1126"/>
      <c r="M85" s="1126"/>
      <c r="N85" s="1126"/>
      <c r="O85" s="1126"/>
      <c r="P85" s="1126"/>
      <c r="Q85" s="1126"/>
      <c r="R85" s="1126"/>
      <c r="S85" s="1126"/>
      <c r="T85" s="1126"/>
      <c r="U85" s="1126"/>
      <c r="V85" s="1126"/>
      <c r="W85" s="1126"/>
      <c r="X85" s="1126"/>
      <c r="Y85" s="1126"/>
      <c r="Z85" s="1126"/>
      <c r="AA85" s="1126"/>
    </row>
    <row r="86" ht="15.75" customHeight="1">
      <c r="A86" s="1126" t="s">
        <v>649</v>
      </c>
      <c r="B86" s="1126"/>
      <c r="C86" s="1126"/>
      <c r="D86" s="1126"/>
      <c r="E86" s="1126"/>
      <c r="F86" s="1126"/>
      <c r="G86" s="1126"/>
      <c r="H86" s="1126"/>
      <c r="I86" s="1126"/>
      <c r="J86" s="1126"/>
      <c r="K86" s="1126"/>
      <c r="L86" s="1126"/>
      <c r="M86" s="1126"/>
      <c r="N86" s="1126"/>
      <c r="O86" s="1126"/>
      <c r="P86" s="1126"/>
      <c r="Q86" s="1126"/>
      <c r="R86" s="1126"/>
      <c r="S86" s="1126"/>
      <c r="T86" s="1126"/>
      <c r="U86" s="1126"/>
      <c r="V86" s="1126"/>
      <c r="W86" s="1126"/>
      <c r="X86" s="1126"/>
      <c r="Y86" s="1126"/>
      <c r="Z86" s="1126"/>
      <c r="AA86" s="1126"/>
    </row>
    <row r="87" ht="15.75" customHeight="1">
      <c r="A87" s="1126" t="s">
        <v>970</v>
      </c>
      <c r="B87" s="1126"/>
      <c r="C87" s="1126"/>
      <c r="D87" s="1126"/>
      <c r="E87" s="1126"/>
      <c r="F87" s="1126"/>
      <c r="G87" s="1126"/>
      <c r="H87" s="1126"/>
      <c r="I87" s="1126"/>
      <c r="J87" s="1126"/>
      <c r="K87" s="1126"/>
      <c r="L87" s="1126"/>
      <c r="M87" s="1126"/>
      <c r="N87" s="1126"/>
      <c r="O87" s="1126"/>
      <c r="P87" s="1126"/>
      <c r="Q87" s="1126"/>
      <c r="R87" s="1126"/>
      <c r="S87" s="1126"/>
      <c r="T87" s="1126"/>
      <c r="U87" s="1126"/>
      <c r="V87" s="1126"/>
      <c r="W87" s="1126"/>
      <c r="X87" s="1126"/>
      <c r="Y87" s="1126"/>
      <c r="Z87" s="1126"/>
      <c r="AA87" s="1126"/>
    </row>
    <row r="88" ht="15.75" customHeight="1">
      <c r="A88" s="1126" t="s">
        <v>971</v>
      </c>
      <c r="B88" s="1126"/>
      <c r="C88" s="1126"/>
      <c r="D88" s="1126"/>
      <c r="E88" s="1126"/>
      <c r="F88" s="1126"/>
      <c r="G88" s="1126"/>
      <c r="H88" s="1126"/>
      <c r="I88" s="1126"/>
      <c r="J88" s="1126"/>
      <c r="K88" s="1126"/>
      <c r="L88" s="1126"/>
      <c r="M88" s="1126"/>
      <c r="N88" s="1126"/>
      <c r="O88" s="1126"/>
      <c r="P88" s="1126"/>
      <c r="Q88" s="1126"/>
      <c r="R88" s="1126"/>
      <c r="S88" s="1126"/>
      <c r="T88" s="1126"/>
      <c r="U88" s="1126"/>
      <c r="V88" s="1126"/>
      <c r="W88" s="1126"/>
      <c r="X88" s="1126"/>
      <c r="Y88" s="1126"/>
      <c r="Z88" s="1126"/>
      <c r="AA88" s="1126"/>
    </row>
    <row r="89" ht="15.75" customHeight="1">
      <c r="A89" s="1126" t="s">
        <v>972</v>
      </c>
      <c r="B89" s="1126"/>
      <c r="C89" s="1126"/>
      <c r="D89" s="1126"/>
      <c r="E89" s="1126"/>
      <c r="F89" s="1126"/>
      <c r="G89" s="1126"/>
      <c r="H89" s="1126"/>
      <c r="I89" s="1126"/>
      <c r="J89" s="1126"/>
      <c r="K89" s="1126"/>
      <c r="L89" s="1126"/>
      <c r="M89" s="1126"/>
      <c r="N89" s="1126"/>
      <c r="O89" s="1126"/>
      <c r="P89" s="1126"/>
      <c r="Q89" s="1126"/>
      <c r="R89" s="1126"/>
      <c r="S89" s="1126"/>
      <c r="T89" s="1126"/>
      <c r="U89" s="1126"/>
      <c r="V89" s="1126"/>
      <c r="W89" s="1126"/>
      <c r="X89" s="1126"/>
      <c r="Y89" s="1126"/>
      <c r="Z89" s="1126"/>
      <c r="AA89" s="1126"/>
    </row>
    <row r="90" ht="15.75" customHeight="1">
      <c r="A90" s="1126" t="s">
        <v>605</v>
      </c>
      <c r="B90" s="1126"/>
      <c r="C90" s="1126"/>
      <c r="D90" s="1126"/>
      <c r="E90" s="1126"/>
      <c r="F90" s="1126"/>
      <c r="G90" s="1126"/>
      <c r="H90" s="1126"/>
      <c r="I90" s="1126"/>
      <c r="J90" s="1126"/>
      <c r="K90" s="1126"/>
      <c r="L90" s="1126"/>
      <c r="M90" s="1126"/>
      <c r="N90" s="1126"/>
      <c r="O90" s="1126"/>
      <c r="P90" s="1126"/>
      <c r="Q90" s="1126"/>
      <c r="R90" s="1126"/>
      <c r="S90" s="1126"/>
      <c r="T90" s="1126"/>
      <c r="U90" s="1126"/>
      <c r="V90" s="1126"/>
      <c r="W90" s="1126"/>
      <c r="X90" s="1126"/>
      <c r="Y90" s="1126"/>
      <c r="Z90" s="1126"/>
      <c r="AA90" s="1126"/>
    </row>
    <row r="91" ht="15.75" customHeight="1">
      <c r="A91" s="1126" t="s">
        <v>973</v>
      </c>
      <c r="B91" s="1126"/>
      <c r="C91" s="1126"/>
      <c r="D91" s="1126"/>
      <c r="E91" s="1126"/>
      <c r="F91" s="1126"/>
      <c r="G91" s="1126"/>
      <c r="H91" s="1126"/>
      <c r="I91" s="1126"/>
      <c r="J91" s="1126"/>
      <c r="K91" s="1126"/>
      <c r="L91" s="1126"/>
      <c r="M91" s="1126"/>
      <c r="N91" s="1126"/>
      <c r="O91" s="1126"/>
      <c r="P91" s="1126"/>
      <c r="Q91" s="1126"/>
      <c r="R91" s="1126"/>
      <c r="S91" s="1126"/>
      <c r="T91" s="1126"/>
      <c r="U91" s="1126"/>
      <c r="V91" s="1126"/>
      <c r="W91" s="1126"/>
      <c r="X91" s="1126"/>
      <c r="Y91" s="1126"/>
      <c r="Z91" s="1126"/>
      <c r="AA91" s="1126"/>
    </row>
    <row r="92" ht="15.75" customHeight="1">
      <c r="A92" s="1126"/>
      <c r="B92" s="1126"/>
      <c r="C92" s="1126"/>
      <c r="D92" s="1126"/>
      <c r="E92" s="1126"/>
      <c r="F92" s="1126"/>
      <c r="G92" s="1126"/>
      <c r="H92" s="1126"/>
      <c r="I92" s="1126"/>
      <c r="J92" s="1126"/>
      <c r="K92" s="1126"/>
      <c r="L92" s="1126"/>
      <c r="M92" s="1126"/>
      <c r="N92" s="1126"/>
      <c r="O92" s="1126"/>
      <c r="P92" s="1126"/>
      <c r="Q92" s="1126"/>
      <c r="R92" s="1126"/>
      <c r="S92" s="1126"/>
      <c r="T92" s="1126"/>
      <c r="U92" s="1126"/>
      <c r="V92" s="1126"/>
      <c r="W92" s="1126"/>
      <c r="X92" s="1126"/>
      <c r="Y92" s="1126"/>
      <c r="Z92" s="1126"/>
      <c r="AA92" s="1126"/>
    </row>
    <row r="93" ht="15.75" customHeight="1">
      <c r="A93" s="1126" t="s">
        <v>974</v>
      </c>
      <c r="B93" s="1126"/>
      <c r="C93" s="1126"/>
      <c r="D93" s="1126"/>
      <c r="E93" s="1126"/>
      <c r="F93" s="1126"/>
      <c r="G93" s="1126"/>
      <c r="H93" s="1126"/>
      <c r="I93" s="1126"/>
      <c r="J93" s="1126"/>
      <c r="K93" s="1126"/>
      <c r="L93" s="1126"/>
      <c r="M93" s="1126"/>
      <c r="N93" s="1126"/>
      <c r="O93" s="1126"/>
      <c r="P93" s="1126"/>
      <c r="Q93" s="1126"/>
      <c r="R93" s="1126"/>
      <c r="S93" s="1126"/>
      <c r="T93" s="1126"/>
      <c r="U93" s="1126"/>
      <c r="V93" s="1126"/>
      <c r="W93" s="1126"/>
      <c r="X93" s="1126"/>
      <c r="Y93" s="1126"/>
      <c r="Z93" s="1126"/>
      <c r="AA93" s="1126"/>
    </row>
    <row r="94" ht="15.75" customHeight="1">
      <c r="A94" s="1126" t="s">
        <v>975</v>
      </c>
      <c r="B94" s="1126"/>
      <c r="C94" s="1126"/>
      <c r="D94" s="1126"/>
      <c r="E94" s="1126"/>
      <c r="F94" s="1126"/>
      <c r="G94" s="1126"/>
      <c r="H94" s="1126"/>
      <c r="I94" s="1126"/>
      <c r="J94" s="1126"/>
      <c r="K94" s="1126"/>
      <c r="L94" s="1126"/>
      <c r="M94" s="1126"/>
      <c r="N94" s="1126"/>
      <c r="O94" s="1126"/>
      <c r="P94" s="1126"/>
      <c r="Q94" s="1126"/>
      <c r="R94" s="1126"/>
      <c r="S94" s="1126"/>
      <c r="T94" s="1126"/>
      <c r="U94" s="1126"/>
      <c r="V94" s="1126"/>
      <c r="W94" s="1126"/>
      <c r="X94" s="1126"/>
      <c r="Y94" s="1126"/>
      <c r="Z94" s="1126"/>
      <c r="AA94" s="1126"/>
    </row>
    <row r="95" ht="15.75" customHeight="1">
      <c r="A95" s="1126" t="s">
        <v>976</v>
      </c>
      <c r="B95" s="1126"/>
      <c r="C95" s="1126"/>
      <c r="D95" s="1126"/>
      <c r="E95" s="1126"/>
      <c r="F95" s="1126"/>
      <c r="G95" s="1126"/>
      <c r="H95" s="1126"/>
      <c r="I95" s="1126"/>
      <c r="J95" s="1126"/>
      <c r="K95" s="1126"/>
      <c r="L95" s="1126"/>
      <c r="M95" s="1126"/>
      <c r="N95" s="1126"/>
      <c r="O95" s="1126"/>
      <c r="P95" s="1126"/>
      <c r="Q95" s="1126"/>
      <c r="R95" s="1126"/>
      <c r="S95" s="1126"/>
      <c r="T95" s="1126"/>
      <c r="U95" s="1126"/>
      <c r="V95" s="1126"/>
      <c r="W95" s="1126"/>
      <c r="X95" s="1126"/>
      <c r="Y95" s="1126"/>
      <c r="Z95" s="1126"/>
      <c r="AA95" s="1126"/>
    </row>
    <row r="96" ht="15.75" customHeight="1">
      <c r="A96" s="1126"/>
      <c r="B96" s="1126"/>
      <c r="C96" s="1126"/>
      <c r="D96" s="1126"/>
      <c r="E96" s="1126"/>
      <c r="F96" s="1126"/>
      <c r="G96" s="1126"/>
      <c r="H96" s="1126"/>
      <c r="I96" s="1126"/>
      <c r="J96" s="1126"/>
      <c r="K96" s="1126"/>
      <c r="L96" s="1126"/>
      <c r="M96" s="1126"/>
      <c r="N96" s="1126"/>
      <c r="O96" s="1126"/>
      <c r="P96" s="1126"/>
      <c r="Q96" s="1126"/>
      <c r="R96" s="1126"/>
      <c r="S96" s="1126"/>
      <c r="T96" s="1126"/>
      <c r="U96" s="1126"/>
      <c r="V96" s="1126"/>
      <c r="W96" s="1126"/>
      <c r="X96" s="1126"/>
      <c r="Y96" s="1126"/>
      <c r="Z96" s="1126"/>
      <c r="AA96" s="1126"/>
    </row>
    <row r="97" ht="15.75" customHeight="1">
      <c r="A97" s="1126"/>
      <c r="B97" s="1126"/>
      <c r="C97" s="1126"/>
      <c r="D97" s="1126"/>
      <c r="E97" s="1126"/>
      <c r="F97" s="1126"/>
      <c r="G97" s="1126"/>
      <c r="H97" s="1126"/>
      <c r="I97" s="1126"/>
      <c r="J97" s="1126"/>
      <c r="K97" s="1126"/>
      <c r="L97" s="1126"/>
      <c r="M97" s="1126"/>
      <c r="N97" s="1126"/>
      <c r="O97" s="1126"/>
      <c r="P97" s="1126"/>
      <c r="Q97" s="1126"/>
      <c r="R97" s="1126"/>
      <c r="S97" s="1126"/>
      <c r="T97" s="1126"/>
      <c r="U97" s="1126"/>
      <c r="V97" s="1126"/>
      <c r="W97" s="1126"/>
      <c r="X97" s="1126"/>
      <c r="Y97" s="1126"/>
      <c r="Z97" s="1126"/>
      <c r="AA97" s="1126"/>
    </row>
    <row r="98" ht="15.75" customHeight="1">
      <c r="A98" s="1126"/>
      <c r="B98" s="1126"/>
      <c r="C98" s="1126"/>
      <c r="D98" s="1126"/>
      <c r="E98" s="1126"/>
      <c r="F98" s="1126"/>
      <c r="G98" s="1126"/>
      <c r="H98" s="1126"/>
      <c r="I98" s="1126"/>
      <c r="J98" s="1126"/>
      <c r="K98" s="1126"/>
      <c r="L98" s="1126"/>
      <c r="M98" s="1126"/>
      <c r="N98" s="1126"/>
      <c r="O98" s="1126"/>
      <c r="P98" s="1126"/>
      <c r="Q98" s="1126"/>
      <c r="R98" s="1126"/>
      <c r="S98" s="1126"/>
      <c r="T98" s="1126"/>
      <c r="U98" s="1126"/>
      <c r="V98" s="1126"/>
      <c r="W98" s="1126"/>
      <c r="X98" s="1126"/>
      <c r="Y98" s="1126"/>
      <c r="Z98" s="1126"/>
      <c r="AA98" s="1126"/>
    </row>
    <row r="99" ht="15.75" customHeight="1">
      <c r="A99" s="1126"/>
      <c r="B99" s="1126"/>
      <c r="C99" s="1126"/>
      <c r="D99" s="1126"/>
      <c r="E99" s="1126"/>
      <c r="F99" s="1126"/>
      <c r="G99" s="1126"/>
      <c r="H99" s="1126"/>
      <c r="I99" s="1126"/>
      <c r="J99" s="1126"/>
      <c r="K99" s="1126"/>
      <c r="L99" s="1126"/>
      <c r="M99" s="1126"/>
      <c r="N99" s="1126"/>
      <c r="O99" s="1126"/>
      <c r="P99" s="1126"/>
      <c r="Q99" s="1126"/>
      <c r="R99" s="1126"/>
      <c r="S99" s="1126"/>
      <c r="T99" s="1126"/>
      <c r="U99" s="1126"/>
      <c r="V99" s="1126"/>
      <c r="W99" s="1126"/>
      <c r="X99" s="1126"/>
      <c r="Y99" s="1126"/>
      <c r="Z99" s="1126"/>
      <c r="AA99" s="1126"/>
    </row>
    <row r="100" ht="15.75" customHeight="1">
      <c r="A100" s="1126"/>
      <c r="B100" s="1126"/>
      <c r="C100" s="1126"/>
      <c r="D100" s="1126"/>
      <c r="E100" s="1126"/>
      <c r="F100" s="1126"/>
      <c r="G100" s="1126"/>
      <c r="H100" s="1126"/>
      <c r="I100" s="1126"/>
      <c r="J100" s="1126"/>
      <c r="K100" s="1126"/>
      <c r="L100" s="1126"/>
      <c r="M100" s="1126"/>
      <c r="N100" s="1126"/>
      <c r="O100" s="1126"/>
      <c r="P100" s="1126"/>
      <c r="Q100" s="1126"/>
      <c r="R100" s="1126"/>
      <c r="S100" s="1126"/>
      <c r="T100" s="1126"/>
      <c r="U100" s="1126"/>
      <c r="V100" s="1126"/>
      <c r="W100" s="1126"/>
      <c r="X100" s="1126"/>
      <c r="Y100" s="1126"/>
      <c r="Z100" s="1126"/>
      <c r="AA100" s="1126"/>
    </row>
    <row r="101" ht="15.75" customHeight="1">
      <c r="A101" s="1126"/>
      <c r="B101" s="1126"/>
      <c r="C101" s="1126"/>
      <c r="D101" s="1126"/>
      <c r="E101" s="1126"/>
      <c r="F101" s="1126"/>
      <c r="G101" s="1126"/>
      <c r="H101" s="1126"/>
      <c r="I101" s="1126"/>
      <c r="J101" s="1126"/>
      <c r="K101" s="1126"/>
      <c r="L101" s="1126"/>
      <c r="M101" s="1126"/>
      <c r="N101" s="1126"/>
      <c r="O101" s="1126"/>
      <c r="P101" s="1126"/>
      <c r="Q101" s="1126"/>
      <c r="R101" s="1126"/>
      <c r="S101" s="1126"/>
      <c r="T101" s="1126"/>
      <c r="U101" s="1126"/>
      <c r="V101" s="1126"/>
      <c r="W101" s="1126"/>
      <c r="X101" s="1126"/>
      <c r="Y101" s="1126"/>
      <c r="Z101" s="1126"/>
      <c r="AA101" s="1126"/>
    </row>
    <row r="102" ht="15.75" customHeight="1">
      <c r="A102" s="1126"/>
      <c r="B102" s="1126"/>
      <c r="C102" s="1126"/>
      <c r="D102" s="1126"/>
      <c r="E102" s="1126"/>
      <c r="F102" s="1126"/>
      <c r="G102" s="1126"/>
      <c r="H102" s="1126"/>
      <c r="I102" s="1126"/>
      <c r="J102" s="1126"/>
      <c r="K102" s="1126"/>
      <c r="L102" s="1126"/>
      <c r="M102" s="1126"/>
      <c r="N102" s="1126"/>
      <c r="O102" s="1126"/>
      <c r="P102" s="1126"/>
      <c r="Q102" s="1126"/>
      <c r="R102" s="1126"/>
      <c r="S102" s="1126"/>
      <c r="T102" s="1126"/>
      <c r="U102" s="1126"/>
      <c r="V102" s="1126"/>
      <c r="W102" s="1126"/>
      <c r="X102" s="1126"/>
      <c r="Y102" s="1126"/>
      <c r="Z102" s="1126"/>
      <c r="AA102" s="1126"/>
    </row>
    <row r="103" ht="15.75" customHeight="1">
      <c r="A103" s="1126"/>
      <c r="B103" s="1126"/>
      <c r="C103" s="1126"/>
      <c r="D103" s="1126"/>
      <c r="E103" s="1126"/>
      <c r="F103" s="1126"/>
      <c r="G103" s="1126"/>
      <c r="H103" s="1126"/>
      <c r="I103" s="1126"/>
      <c r="J103" s="1126"/>
      <c r="K103" s="1126"/>
      <c r="L103" s="1126"/>
      <c r="M103" s="1126"/>
      <c r="N103" s="1126"/>
      <c r="O103" s="1126"/>
      <c r="P103" s="1126"/>
      <c r="Q103" s="1126"/>
      <c r="R103" s="1126"/>
      <c r="S103" s="1126"/>
      <c r="T103" s="1126"/>
      <c r="U103" s="1126"/>
      <c r="V103" s="1126"/>
      <c r="W103" s="1126"/>
      <c r="X103" s="1126"/>
      <c r="Y103" s="1126"/>
      <c r="Z103" s="1126"/>
      <c r="AA103" s="1126"/>
    </row>
    <row r="104" ht="15.75" customHeight="1">
      <c r="A104" s="1126"/>
      <c r="B104" s="1126"/>
      <c r="C104" s="1126"/>
      <c r="D104" s="1126"/>
      <c r="E104" s="1126"/>
      <c r="F104" s="1126"/>
      <c r="G104" s="1126"/>
      <c r="H104" s="1126"/>
      <c r="I104" s="1126"/>
      <c r="J104" s="1126"/>
      <c r="K104" s="1126"/>
      <c r="L104" s="1126"/>
      <c r="M104" s="1126"/>
      <c r="N104" s="1126"/>
      <c r="O104" s="1126"/>
      <c r="P104" s="1126"/>
      <c r="Q104" s="1126"/>
      <c r="R104" s="1126"/>
      <c r="S104" s="1126"/>
      <c r="T104" s="1126"/>
      <c r="U104" s="1126"/>
      <c r="V104" s="1126"/>
      <c r="W104" s="1126"/>
      <c r="X104" s="1126"/>
      <c r="Y104" s="1126"/>
      <c r="Z104" s="1126"/>
      <c r="AA104" s="1126"/>
    </row>
    <row r="105" ht="15.75" customHeight="1">
      <c r="A105" s="1126"/>
      <c r="B105" s="1126"/>
      <c r="C105" s="1126"/>
      <c r="D105" s="1126"/>
      <c r="E105" s="1126"/>
      <c r="F105" s="1126"/>
      <c r="G105" s="1126"/>
      <c r="H105" s="1126"/>
      <c r="I105" s="1126"/>
      <c r="J105" s="1126"/>
      <c r="K105" s="1126"/>
      <c r="L105" s="1126"/>
      <c r="M105" s="1126"/>
      <c r="N105" s="1126"/>
      <c r="O105" s="1126"/>
      <c r="P105" s="1126"/>
      <c r="Q105" s="1126"/>
      <c r="R105" s="1126"/>
      <c r="S105" s="1126"/>
      <c r="T105" s="1126"/>
      <c r="U105" s="1126"/>
      <c r="V105" s="1126"/>
      <c r="W105" s="1126"/>
      <c r="X105" s="1126"/>
      <c r="Y105" s="1126"/>
      <c r="Z105" s="1126"/>
      <c r="AA105" s="1126"/>
    </row>
    <row r="106" ht="15.75" customHeight="1">
      <c r="A106" s="1126"/>
      <c r="B106" s="1126"/>
      <c r="C106" s="1126"/>
      <c r="D106" s="1126"/>
      <c r="E106" s="1126"/>
      <c r="F106" s="1126"/>
      <c r="G106" s="1126"/>
      <c r="H106" s="1126"/>
      <c r="I106" s="1126"/>
      <c r="J106" s="1126"/>
      <c r="K106" s="1126"/>
      <c r="L106" s="1126"/>
      <c r="M106" s="1126"/>
      <c r="N106" s="1126"/>
      <c r="O106" s="1126"/>
      <c r="P106" s="1126"/>
      <c r="Q106" s="1126"/>
      <c r="R106" s="1126"/>
      <c r="S106" s="1126"/>
      <c r="T106" s="1126"/>
      <c r="U106" s="1126"/>
      <c r="V106" s="1126"/>
      <c r="W106" s="1126"/>
      <c r="X106" s="1126"/>
      <c r="Y106" s="1126"/>
      <c r="Z106" s="1126"/>
      <c r="AA106" s="1126"/>
    </row>
    <row r="107" ht="15.75" customHeight="1">
      <c r="A107" s="1126"/>
      <c r="B107" s="1126"/>
      <c r="C107" s="1126"/>
      <c r="D107" s="1126"/>
      <c r="E107" s="1126"/>
      <c r="F107" s="1126"/>
      <c r="G107" s="1126"/>
      <c r="H107" s="1126"/>
      <c r="I107" s="1126"/>
      <c r="J107" s="1126"/>
      <c r="K107" s="1126"/>
      <c r="L107" s="1126"/>
      <c r="M107" s="1126"/>
      <c r="N107" s="1126"/>
      <c r="O107" s="1126"/>
      <c r="P107" s="1126"/>
      <c r="Q107" s="1126"/>
      <c r="R107" s="1126"/>
      <c r="S107" s="1126"/>
      <c r="T107" s="1126"/>
      <c r="U107" s="1126"/>
      <c r="V107" s="1126"/>
      <c r="W107" s="1126"/>
      <c r="X107" s="1126"/>
      <c r="Y107" s="1126"/>
      <c r="Z107" s="1126"/>
      <c r="AA107" s="1126"/>
    </row>
    <row r="108" ht="15.75" customHeight="1">
      <c r="A108" s="1126"/>
      <c r="B108" s="1126"/>
      <c r="C108" s="1126"/>
      <c r="D108" s="1126"/>
      <c r="E108" s="1126"/>
      <c r="F108" s="1126"/>
      <c r="G108" s="1126"/>
      <c r="H108" s="1126"/>
      <c r="I108" s="1126"/>
      <c r="J108" s="1126"/>
      <c r="K108" s="1126"/>
      <c r="L108" s="1126"/>
      <c r="M108" s="1126"/>
      <c r="N108" s="1126"/>
      <c r="O108" s="1126"/>
      <c r="P108" s="1126"/>
      <c r="Q108" s="1126"/>
      <c r="R108" s="1126"/>
      <c r="S108" s="1126"/>
      <c r="T108" s="1126"/>
      <c r="U108" s="1126"/>
      <c r="V108" s="1126"/>
      <c r="W108" s="1126"/>
      <c r="X108" s="1126"/>
      <c r="Y108" s="1126"/>
      <c r="Z108" s="1126"/>
      <c r="AA108" s="1126"/>
    </row>
    <row r="109" ht="15.75" customHeight="1">
      <c r="A109" s="1126"/>
      <c r="B109" s="1126"/>
      <c r="C109" s="1126"/>
      <c r="D109" s="1126"/>
      <c r="E109" s="1126"/>
      <c r="F109" s="1126"/>
      <c r="G109" s="1126"/>
      <c r="H109" s="1126"/>
      <c r="I109" s="1126"/>
      <c r="J109" s="1126"/>
      <c r="K109" s="1126"/>
      <c r="L109" s="1126"/>
      <c r="M109" s="1126"/>
      <c r="N109" s="1126"/>
      <c r="O109" s="1126"/>
      <c r="P109" s="1126"/>
      <c r="Q109" s="1126"/>
      <c r="R109" s="1126"/>
      <c r="S109" s="1126"/>
      <c r="T109" s="1126"/>
      <c r="U109" s="1126"/>
      <c r="V109" s="1126"/>
      <c r="W109" s="1126"/>
      <c r="X109" s="1126"/>
      <c r="Y109" s="1126"/>
      <c r="Z109" s="1126"/>
      <c r="AA109" s="1126"/>
    </row>
    <row r="110" ht="15.75" customHeight="1">
      <c r="A110" s="1126"/>
      <c r="B110" s="1126"/>
      <c r="C110" s="1126"/>
      <c r="D110" s="1126"/>
      <c r="E110" s="1126"/>
      <c r="F110" s="1126"/>
      <c r="G110" s="1126"/>
      <c r="H110" s="1126"/>
      <c r="I110" s="1126"/>
      <c r="J110" s="1126"/>
      <c r="K110" s="1126"/>
      <c r="L110" s="1126"/>
      <c r="M110" s="1126"/>
      <c r="N110" s="1126"/>
      <c r="O110" s="1126"/>
      <c r="P110" s="1126"/>
      <c r="Q110" s="1126"/>
      <c r="R110" s="1126"/>
      <c r="S110" s="1126"/>
      <c r="T110" s="1126"/>
      <c r="U110" s="1126"/>
      <c r="V110" s="1126"/>
      <c r="W110" s="1126"/>
      <c r="X110" s="1126"/>
      <c r="Y110" s="1126"/>
      <c r="Z110" s="1126"/>
      <c r="AA110" s="1126"/>
    </row>
    <row r="111" ht="15.75" customHeight="1">
      <c r="A111" s="1126"/>
      <c r="B111" s="1126"/>
      <c r="C111" s="1126"/>
      <c r="D111" s="1126"/>
      <c r="E111" s="1126"/>
      <c r="F111" s="1126"/>
      <c r="G111" s="1126"/>
      <c r="H111" s="1126"/>
      <c r="I111" s="1126"/>
      <c r="J111" s="1126"/>
      <c r="K111" s="1126"/>
      <c r="L111" s="1126"/>
      <c r="M111" s="1126"/>
      <c r="N111" s="1126"/>
      <c r="O111" s="1126"/>
      <c r="P111" s="1126"/>
      <c r="Q111" s="1126"/>
      <c r="R111" s="1126"/>
      <c r="S111" s="1126"/>
      <c r="T111" s="1126"/>
      <c r="U111" s="1126"/>
      <c r="V111" s="1126"/>
      <c r="W111" s="1126"/>
      <c r="X111" s="1126"/>
      <c r="Y111" s="1126"/>
      <c r="Z111" s="1126"/>
      <c r="AA111" s="1126"/>
    </row>
    <row r="112" ht="15.75" customHeight="1">
      <c r="A112" s="1126"/>
      <c r="B112" s="1126"/>
      <c r="C112" s="1126"/>
      <c r="D112" s="1126"/>
      <c r="E112" s="1126"/>
      <c r="F112" s="1126"/>
      <c r="G112" s="1126"/>
      <c r="H112" s="1126"/>
      <c r="I112" s="1126"/>
      <c r="J112" s="1126"/>
      <c r="K112" s="1126"/>
      <c r="L112" s="1126"/>
      <c r="M112" s="1126"/>
      <c r="N112" s="1126"/>
      <c r="O112" s="1126"/>
      <c r="P112" s="1126"/>
      <c r="Q112" s="1126"/>
      <c r="R112" s="1126"/>
      <c r="S112" s="1126"/>
      <c r="T112" s="1126"/>
      <c r="U112" s="1126"/>
      <c r="V112" s="1126"/>
      <c r="W112" s="1126"/>
      <c r="X112" s="1126"/>
      <c r="Y112" s="1126"/>
      <c r="Z112" s="1126"/>
      <c r="AA112" s="1126"/>
    </row>
    <row r="113" ht="15.75" customHeight="1">
      <c r="A113" s="1126"/>
      <c r="B113" s="1126"/>
      <c r="C113" s="1126"/>
      <c r="D113" s="1126"/>
      <c r="E113" s="1126"/>
      <c r="F113" s="1126"/>
      <c r="G113" s="1126"/>
      <c r="H113" s="1126"/>
      <c r="I113" s="1126"/>
      <c r="J113" s="1126"/>
      <c r="K113" s="1126"/>
      <c r="L113" s="1126"/>
      <c r="M113" s="1126"/>
      <c r="N113" s="1126"/>
      <c r="O113" s="1126"/>
      <c r="P113" s="1126"/>
      <c r="Q113" s="1126"/>
      <c r="R113" s="1126"/>
      <c r="S113" s="1126"/>
      <c r="T113" s="1126"/>
      <c r="U113" s="1126"/>
      <c r="V113" s="1126"/>
      <c r="W113" s="1126"/>
      <c r="X113" s="1126"/>
      <c r="Y113" s="1126"/>
      <c r="Z113" s="1126"/>
      <c r="AA113" s="1126"/>
    </row>
    <row r="114" ht="15.75" customHeight="1">
      <c r="A114" s="1126"/>
      <c r="B114" s="1126"/>
      <c r="C114" s="1126"/>
      <c r="D114" s="1126"/>
      <c r="E114" s="1126"/>
      <c r="F114" s="1126"/>
      <c r="G114" s="1126"/>
      <c r="H114" s="1126"/>
      <c r="I114" s="1126"/>
      <c r="J114" s="1126"/>
      <c r="K114" s="1126"/>
      <c r="L114" s="1126"/>
      <c r="M114" s="1126"/>
      <c r="N114" s="1126"/>
      <c r="O114" s="1126"/>
      <c r="P114" s="1126"/>
      <c r="Q114" s="1126"/>
      <c r="R114" s="1126"/>
      <c r="S114" s="1126"/>
      <c r="T114" s="1126"/>
      <c r="U114" s="1126"/>
      <c r="V114" s="1126"/>
      <c r="W114" s="1126"/>
      <c r="X114" s="1126"/>
      <c r="Y114" s="1126"/>
      <c r="Z114" s="1126"/>
      <c r="AA114" s="1126"/>
    </row>
    <row r="115" ht="15.75" customHeight="1">
      <c r="A115" s="1126"/>
      <c r="B115" s="1126"/>
      <c r="C115" s="1126"/>
      <c r="D115" s="1126"/>
      <c r="E115" s="1126"/>
      <c r="F115" s="1126"/>
      <c r="G115" s="1126"/>
      <c r="H115" s="1126"/>
      <c r="I115" s="1126"/>
      <c r="J115" s="1126"/>
      <c r="K115" s="1126"/>
      <c r="L115" s="1126"/>
      <c r="M115" s="1126"/>
      <c r="N115" s="1126"/>
      <c r="O115" s="1126"/>
      <c r="P115" s="1126"/>
      <c r="Q115" s="1126"/>
      <c r="R115" s="1126"/>
      <c r="S115" s="1126"/>
      <c r="T115" s="1126"/>
      <c r="U115" s="1126"/>
      <c r="V115" s="1126"/>
      <c r="W115" s="1126"/>
      <c r="X115" s="1126"/>
      <c r="Y115" s="1126"/>
      <c r="Z115" s="1126"/>
      <c r="AA115" s="1126"/>
    </row>
    <row r="116" ht="15.75" customHeight="1">
      <c r="A116" s="1126"/>
      <c r="B116" s="1126"/>
      <c r="C116" s="1126"/>
      <c r="D116" s="1126"/>
      <c r="E116" s="1126"/>
      <c r="F116" s="1126"/>
      <c r="G116" s="1126"/>
      <c r="H116" s="1126"/>
      <c r="I116" s="1126"/>
      <c r="J116" s="1126"/>
      <c r="K116" s="1126"/>
      <c r="L116" s="1126"/>
      <c r="M116" s="1126"/>
      <c r="N116" s="1126"/>
      <c r="O116" s="1126"/>
      <c r="P116" s="1126"/>
      <c r="Q116" s="1126"/>
      <c r="R116" s="1126"/>
      <c r="S116" s="1126"/>
      <c r="T116" s="1126"/>
      <c r="U116" s="1126"/>
      <c r="V116" s="1126"/>
      <c r="W116" s="1126"/>
      <c r="X116" s="1126"/>
      <c r="Y116" s="1126"/>
      <c r="Z116" s="1126"/>
      <c r="AA116" s="1126"/>
    </row>
    <row r="117" ht="15.75" customHeight="1">
      <c r="A117" s="1126"/>
      <c r="B117" s="1126"/>
      <c r="C117" s="1126"/>
      <c r="D117" s="1126"/>
      <c r="E117" s="1126"/>
      <c r="F117" s="1126"/>
      <c r="G117" s="1126"/>
      <c r="H117" s="1126"/>
      <c r="I117" s="1126"/>
      <c r="J117" s="1126"/>
      <c r="K117" s="1126"/>
      <c r="L117" s="1126"/>
      <c r="M117" s="1126"/>
      <c r="N117" s="1126"/>
      <c r="O117" s="1126"/>
      <c r="P117" s="1126"/>
      <c r="Q117" s="1126"/>
      <c r="R117" s="1126"/>
      <c r="S117" s="1126"/>
      <c r="T117" s="1126"/>
      <c r="U117" s="1126"/>
      <c r="V117" s="1126"/>
      <c r="W117" s="1126"/>
      <c r="X117" s="1126"/>
      <c r="Y117" s="1126"/>
      <c r="Z117" s="1126"/>
      <c r="AA117" s="1126"/>
    </row>
    <row r="118" ht="15.75" customHeight="1">
      <c r="A118" s="1126"/>
      <c r="B118" s="1126"/>
      <c r="C118" s="1126"/>
      <c r="D118" s="1126"/>
      <c r="E118" s="1126"/>
      <c r="F118" s="1126"/>
      <c r="G118" s="1126"/>
      <c r="H118" s="1126"/>
      <c r="I118" s="1126"/>
      <c r="J118" s="1126"/>
      <c r="K118" s="1126"/>
      <c r="L118" s="1126"/>
      <c r="M118" s="1126"/>
      <c r="N118" s="1126"/>
      <c r="O118" s="1126"/>
      <c r="P118" s="1126"/>
      <c r="Q118" s="1126"/>
      <c r="R118" s="1126"/>
      <c r="S118" s="1126"/>
      <c r="T118" s="1126"/>
      <c r="U118" s="1126"/>
      <c r="V118" s="1126"/>
      <c r="W118" s="1126"/>
      <c r="X118" s="1126"/>
      <c r="Y118" s="1126"/>
      <c r="Z118" s="1126"/>
      <c r="AA118" s="1126"/>
    </row>
    <row r="119" ht="15.75" customHeight="1">
      <c r="A119" s="1126"/>
      <c r="B119" s="1126"/>
      <c r="C119" s="1126"/>
      <c r="D119" s="1126"/>
      <c r="E119" s="1126"/>
      <c r="F119" s="1126"/>
      <c r="G119" s="1126"/>
      <c r="H119" s="1126"/>
      <c r="I119" s="1126"/>
      <c r="J119" s="1126"/>
      <c r="K119" s="1126"/>
      <c r="L119" s="1126"/>
      <c r="M119" s="1126"/>
      <c r="N119" s="1126"/>
      <c r="O119" s="1126"/>
      <c r="P119" s="1126"/>
      <c r="Q119" s="1126"/>
      <c r="R119" s="1126"/>
      <c r="S119" s="1126"/>
      <c r="T119" s="1126"/>
      <c r="U119" s="1126"/>
      <c r="V119" s="1126"/>
      <c r="W119" s="1126"/>
      <c r="X119" s="1126"/>
      <c r="Y119" s="1126"/>
      <c r="Z119" s="1126"/>
      <c r="AA119" s="1126"/>
    </row>
    <row r="120" ht="15.75" customHeight="1">
      <c r="A120" s="1126"/>
      <c r="B120" s="1126"/>
      <c r="C120" s="1126"/>
      <c r="D120" s="1126"/>
      <c r="E120" s="1126"/>
      <c r="F120" s="1126"/>
      <c r="G120" s="1126"/>
      <c r="H120" s="1126"/>
      <c r="I120" s="1126"/>
      <c r="J120" s="1126"/>
      <c r="K120" s="1126"/>
      <c r="L120" s="1126"/>
      <c r="M120" s="1126"/>
      <c r="N120" s="1126"/>
      <c r="O120" s="1126"/>
      <c r="P120" s="1126"/>
      <c r="Q120" s="1126"/>
      <c r="R120" s="1126"/>
      <c r="S120" s="1126"/>
      <c r="T120" s="1126"/>
      <c r="U120" s="1126"/>
      <c r="V120" s="1126"/>
      <c r="W120" s="1126"/>
      <c r="X120" s="1126"/>
      <c r="Y120" s="1126"/>
      <c r="Z120" s="1126"/>
      <c r="AA120" s="1126"/>
    </row>
    <row r="121" ht="15.75" customHeight="1">
      <c r="A121" s="1126"/>
      <c r="B121" s="1126"/>
      <c r="C121" s="1126"/>
      <c r="D121" s="1126"/>
      <c r="E121" s="1126"/>
      <c r="F121" s="1126"/>
      <c r="G121" s="1126"/>
      <c r="H121" s="1126"/>
      <c r="I121" s="1126"/>
      <c r="J121" s="1126"/>
      <c r="K121" s="1126"/>
      <c r="L121" s="1126"/>
      <c r="M121" s="1126"/>
      <c r="N121" s="1126"/>
      <c r="O121" s="1126"/>
      <c r="P121" s="1126"/>
      <c r="Q121" s="1126"/>
      <c r="R121" s="1126"/>
      <c r="S121" s="1126"/>
      <c r="T121" s="1126"/>
      <c r="U121" s="1126"/>
      <c r="V121" s="1126"/>
      <c r="W121" s="1126"/>
      <c r="X121" s="1126"/>
      <c r="Y121" s="1126"/>
      <c r="Z121" s="1126"/>
      <c r="AA121" s="1126"/>
    </row>
    <row r="122" ht="15.75" customHeight="1">
      <c r="A122" s="1126"/>
      <c r="B122" s="1126"/>
      <c r="C122" s="1126"/>
      <c r="D122" s="1126"/>
      <c r="E122" s="1126"/>
      <c r="F122" s="1126"/>
      <c r="G122" s="1126"/>
      <c r="H122" s="1126"/>
      <c r="I122" s="1126"/>
      <c r="J122" s="1126"/>
      <c r="K122" s="1126"/>
      <c r="L122" s="1126"/>
      <c r="M122" s="1126"/>
      <c r="N122" s="1126"/>
      <c r="O122" s="1126"/>
      <c r="P122" s="1126"/>
      <c r="Q122" s="1126"/>
      <c r="R122" s="1126"/>
      <c r="S122" s="1126"/>
      <c r="T122" s="1126"/>
      <c r="U122" s="1126"/>
      <c r="V122" s="1126"/>
      <c r="W122" s="1126"/>
      <c r="X122" s="1126"/>
      <c r="Y122" s="1126"/>
      <c r="Z122" s="1126"/>
      <c r="AA122" s="1126"/>
    </row>
    <row r="123" ht="15.75" customHeight="1">
      <c r="A123" s="1126"/>
      <c r="B123" s="1126"/>
      <c r="C123" s="1126"/>
      <c r="D123" s="1126"/>
      <c r="E123" s="1126"/>
      <c r="F123" s="1126"/>
      <c r="G123" s="1126"/>
      <c r="H123" s="1126"/>
      <c r="I123" s="1126"/>
      <c r="J123" s="1126"/>
      <c r="K123" s="1126"/>
      <c r="L123" s="1126"/>
      <c r="M123" s="1126"/>
      <c r="N123" s="1126"/>
      <c r="O123" s="1126"/>
      <c r="P123" s="1126"/>
      <c r="Q123" s="1126"/>
      <c r="R123" s="1126"/>
      <c r="S123" s="1126"/>
      <c r="T123" s="1126"/>
      <c r="U123" s="1126"/>
      <c r="V123" s="1126"/>
      <c r="W123" s="1126"/>
      <c r="X123" s="1126"/>
      <c r="Y123" s="1126"/>
      <c r="Z123" s="1126"/>
      <c r="AA123" s="1126"/>
    </row>
    <row r="124" ht="15.75" customHeight="1">
      <c r="A124" s="1126"/>
      <c r="B124" s="1126"/>
      <c r="C124" s="1126"/>
      <c r="D124" s="1126"/>
      <c r="E124" s="1126"/>
      <c r="F124" s="1126"/>
      <c r="G124" s="1126"/>
      <c r="H124" s="1126"/>
      <c r="I124" s="1126"/>
      <c r="J124" s="1126"/>
      <c r="K124" s="1126"/>
      <c r="L124" s="1126"/>
      <c r="M124" s="1126"/>
      <c r="N124" s="1126"/>
      <c r="O124" s="1126"/>
      <c r="P124" s="1126"/>
      <c r="Q124" s="1126"/>
      <c r="R124" s="1126"/>
      <c r="S124" s="1126"/>
      <c r="T124" s="1126"/>
      <c r="U124" s="1126"/>
      <c r="V124" s="1126"/>
      <c r="W124" s="1126"/>
      <c r="X124" s="1126"/>
      <c r="Y124" s="1126"/>
      <c r="Z124" s="1126"/>
      <c r="AA124" s="1126"/>
    </row>
    <row r="125" ht="15.75" customHeight="1">
      <c r="A125" s="1126"/>
      <c r="B125" s="1126"/>
      <c r="C125" s="1126"/>
      <c r="D125" s="1126"/>
      <c r="E125" s="1126"/>
      <c r="F125" s="1126"/>
      <c r="G125" s="1126"/>
      <c r="H125" s="1126"/>
      <c r="I125" s="1126"/>
      <c r="J125" s="1126"/>
      <c r="K125" s="1126"/>
      <c r="L125" s="1126"/>
      <c r="M125" s="1126"/>
      <c r="N125" s="1126"/>
      <c r="O125" s="1126"/>
      <c r="P125" s="1126"/>
      <c r="Q125" s="1126"/>
      <c r="R125" s="1126"/>
      <c r="S125" s="1126"/>
      <c r="T125" s="1126"/>
      <c r="U125" s="1126"/>
      <c r="V125" s="1126"/>
      <c r="W125" s="1126"/>
      <c r="X125" s="1126"/>
      <c r="Y125" s="1126"/>
      <c r="Z125" s="1126"/>
      <c r="AA125" s="1126"/>
    </row>
    <row r="126" ht="15.75" customHeight="1">
      <c r="A126" s="1126"/>
      <c r="B126" s="1126"/>
      <c r="C126" s="1126"/>
      <c r="D126" s="1126"/>
      <c r="E126" s="1126"/>
      <c r="F126" s="1126"/>
      <c r="G126" s="1126"/>
      <c r="H126" s="1126"/>
      <c r="I126" s="1126"/>
      <c r="J126" s="1126"/>
      <c r="K126" s="1126"/>
      <c r="L126" s="1126"/>
      <c r="M126" s="1126"/>
      <c r="N126" s="1126"/>
      <c r="O126" s="1126"/>
      <c r="P126" s="1126"/>
      <c r="Q126" s="1126"/>
      <c r="R126" s="1126"/>
      <c r="S126" s="1126"/>
      <c r="T126" s="1126"/>
      <c r="U126" s="1126"/>
      <c r="V126" s="1126"/>
      <c r="W126" s="1126"/>
      <c r="X126" s="1126"/>
      <c r="Y126" s="1126"/>
      <c r="Z126" s="1126"/>
      <c r="AA126" s="1126"/>
    </row>
    <row r="127" ht="15.75" customHeight="1">
      <c r="A127" s="1126"/>
      <c r="B127" s="1126"/>
      <c r="C127" s="1126"/>
      <c r="D127" s="1126"/>
      <c r="E127" s="1126"/>
      <c r="F127" s="1126"/>
      <c r="G127" s="1126"/>
      <c r="H127" s="1126"/>
      <c r="I127" s="1126"/>
      <c r="J127" s="1126"/>
      <c r="K127" s="1126"/>
      <c r="L127" s="1126"/>
      <c r="M127" s="1126"/>
      <c r="N127" s="1126"/>
      <c r="O127" s="1126"/>
      <c r="P127" s="1126"/>
      <c r="Q127" s="1126"/>
      <c r="R127" s="1126"/>
      <c r="S127" s="1126"/>
      <c r="T127" s="1126"/>
      <c r="U127" s="1126"/>
      <c r="V127" s="1126"/>
      <c r="W127" s="1126"/>
      <c r="X127" s="1126"/>
      <c r="Y127" s="1126"/>
      <c r="Z127" s="1126"/>
      <c r="AA127" s="1126"/>
    </row>
    <row r="128" ht="15.75" customHeight="1">
      <c r="A128" s="1126"/>
      <c r="B128" s="1126"/>
      <c r="C128" s="1126"/>
      <c r="D128" s="1126"/>
      <c r="E128" s="1126"/>
      <c r="F128" s="1126"/>
      <c r="G128" s="1126"/>
      <c r="H128" s="1126"/>
      <c r="I128" s="1126"/>
      <c r="J128" s="1126"/>
      <c r="K128" s="1126"/>
      <c r="L128" s="1126"/>
      <c r="M128" s="1126"/>
      <c r="N128" s="1126"/>
      <c r="O128" s="1126"/>
      <c r="P128" s="1126"/>
      <c r="Q128" s="1126"/>
      <c r="R128" s="1126"/>
      <c r="S128" s="1126"/>
      <c r="T128" s="1126"/>
      <c r="U128" s="1126"/>
      <c r="V128" s="1126"/>
      <c r="W128" s="1126"/>
      <c r="X128" s="1126"/>
      <c r="Y128" s="1126"/>
      <c r="Z128" s="1126"/>
      <c r="AA128" s="1126"/>
    </row>
    <row r="129" ht="15.75" customHeight="1">
      <c r="A129" s="1126"/>
      <c r="B129" s="1126"/>
      <c r="C129" s="1126"/>
      <c r="D129" s="1126"/>
      <c r="E129" s="1126"/>
      <c r="F129" s="1126"/>
      <c r="G129" s="1126"/>
      <c r="H129" s="1126"/>
      <c r="I129" s="1126"/>
      <c r="J129" s="1126"/>
      <c r="K129" s="1126"/>
      <c r="L129" s="1126"/>
      <c r="M129" s="1126"/>
      <c r="N129" s="1126"/>
      <c r="O129" s="1126"/>
      <c r="P129" s="1126"/>
      <c r="Q129" s="1126"/>
      <c r="R129" s="1126"/>
      <c r="S129" s="1126"/>
      <c r="T129" s="1126"/>
      <c r="U129" s="1126"/>
      <c r="V129" s="1126"/>
      <c r="W129" s="1126"/>
      <c r="X129" s="1126"/>
      <c r="Y129" s="1126"/>
      <c r="Z129" s="1126"/>
      <c r="AA129" s="1126"/>
    </row>
    <row r="130" ht="15.75" customHeight="1">
      <c r="A130" s="1126"/>
      <c r="B130" s="1126"/>
      <c r="C130" s="1126"/>
      <c r="D130" s="1126"/>
      <c r="E130" s="1126"/>
      <c r="F130" s="1126"/>
      <c r="G130" s="1126"/>
      <c r="H130" s="1126"/>
      <c r="I130" s="1126"/>
      <c r="J130" s="1126"/>
      <c r="K130" s="1126"/>
      <c r="L130" s="1126"/>
      <c r="M130" s="1126"/>
      <c r="N130" s="1126"/>
      <c r="O130" s="1126"/>
      <c r="P130" s="1126"/>
      <c r="Q130" s="1126"/>
      <c r="R130" s="1126"/>
      <c r="S130" s="1126"/>
      <c r="T130" s="1126"/>
      <c r="U130" s="1126"/>
      <c r="V130" s="1126"/>
      <c r="W130" s="1126"/>
      <c r="X130" s="1126"/>
      <c r="Y130" s="1126"/>
      <c r="Z130" s="1126"/>
      <c r="AA130" s="1126"/>
    </row>
    <row r="131" ht="15.75" customHeight="1">
      <c r="A131" s="1126"/>
      <c r="B131" s="1126"/>
      <c r="C131" s="1126"/>
      <c r="D131" s="1126"/>
      <c r="E131" s="1126"/>
      <c r="F131" s="1126"/>
      <c r="G131" s="1126"/>
      <c r="H131" s="1126"/>
      <c r="I131" s="1126"/>
      <c r="J131" s="1126"/>
      <c r="K131" s="1126"/>
      <c r="L131" s="1126"/>
      <c r="M131" s="1126"/>
      <c r="N131" s="1126"/>
      <c r="O131" s="1126"/>
      <c r="P131" s="1126"/>
      <c r="Q131" s="1126"/>
      <c r="R131" s="1126"/>
      <c r="S131" s="1126"/>
      <c r="T131" s="1126"/>
      <c r="U131" s="1126"/>
      <c r="V131" s="1126"/>
      <c r="W131" s="1126"/>
      <c r="X131" s="1126"/>
      <c r="Y131" s="1126"/>
      <c r="Z131" s="1126"/>
      <c r="AA131" s="1126"/>
    </row>
    <row r="132" ht="15.75" customHeight="1">
      <c r="A132" s="1126"/>
      <c r="B132" s="1126"/>
      <c r="C132" s="1126"/>
      <c r="D132" s="1126"/>
      <c r="E132" s="1126"/>
      <c r="F132" s="1126"/>
      <c r="G132" s="1126"/>
      <c r="H132" s="1126"/>
      <c r="I132" s="1126"/>
      <c r="J132" s="1126"/>
      <c r="K132" s="1126"/>
      <c r="L132" s="1126"/>
      <c r="M132" s="1126"/>
      <c r="N132" s="1126"/>
      <c r="O132" s="1126"/>
      <c r="P132" s="1126"/>
      <c r="Q132" s="1126"/>
      <c r="R132" s="1126"/>
      <c r="S132" s="1126"/>
      <c r="T132" s="1126"/>
      <c r="U132" s="1126"/>
      <c r="V132" s="1126"/>
      <c r="W132" s="1126"/>
      <c r="X132" s="1126"/>
      <c r="Y132" s="1126"/>
      <c r="Z132" s="1126"/>
      <c r="AA132" s="1126"/>
    </row>
    <row r="133" ht="15.75" customHeight="1">
      <c r="A133" s="1126"/>
      <c r="B133" s="1126"/>
      <c r="C133" s="1126"/>
      <c r="D133" s="1126"/>
      <c r="E133" s="1126"/>
      <c r="F133" s="1126"/>
      <c r="G133" s="1126"/>
      <c r="H133" s="1126"/>
      <c r="I133" s="1126"/>
      <c r="J133" s="1126"/>
      <c r="K133" s="1126"/>
      <c r="L133" s="1126"/>
      <c r="M133" s="1126"/>
      <c r="N133" s="1126"/>
      <c r="O133" s="1126"/>
      <c r="P133" s="1126"/>
      <c r="Q133" s="1126"/>
      <c r="R133" s="1126"/>
      <c r="S133" s="1126"/>
      <c r="T133" s="1126"/>
      <c r="U133" s="1126"/>
      <c r="V133" s="1126"/>
      <c r="W133" s="1126"/>
      <c r="X133" s="1126"/>
      <c r="Y133" s="1126"/>
      <c r="Z133" s="1126"/>
      <c r="AA133" s="1126"/>
    </row>
    <row r="134" ht="15.75" customHeight="1">
      <c r="A134" s="1126"/>
      <c r="B134" s="1126"/>
      <c r="C134" s="1126"/>
      <c r="D134" s="1126"/>
      <c r="E134" s="1126"/>
      <c r="F134" s="1126"/>
      <c r="G134" s="1126"/>
      <c r="H134" s="1126"/>
      <c r="I134" s="1126"/>
      <c r="J134" s="1126"/>
      <c r="K134" s="1126"/>
      <c r="L134" s="1126"/>
      <c r="M134" s="1126"/>
      <c r="N134" s="1126"/>
      <c r="O134" s="1126"/>
      <c r="P134" s="1126"/>
      <c r="Q134" s="1126"/>
      <c r="R134" s="1126"/>
      <c r="S134" s="1126"/>
      <c r="T134" s="1126"/>
      <c r="U134" s="1126"/>
      <c r="V134" s="1126"/>
      <c r="W134" s="1126"/>
      <c r="X134" s="1126"/>
      <c r="Y134" s="1126"/>
      <c r="Z134" s="1126"/>
      <c r="AA134" s="1126"/>
    </row>
    <row r="135" ht="15.75" customHeight="1">
      <c r="A135" s="1126"/>
      <c r="B135" s="1126"/>
      <c r="C135" s="1126"/>
      <c r="D135" s="1126"/>
      <c r="E135" s="1126"/>
      <c r="F135" s="1126"/>
      <c r="G135" s="1126"/>
      <c r="H135" s="1126"/>
      <c r="I135" s="1126"/>
      <c r="J135" s="1126"/>
      <c r="K135" s="1126"/>
      <c r="L135" s="1126"/>
      <c r="M135" s="1126"/>
      <c r="N135" s="1126"/>
      <c r="O135" s="1126"/>
      <c r="P135" s="1126"/>
      <c r="Q135" s="1126"/>
      <c r="R135" s="1126"/>
      <c r="S135" s="1126"/>
      <c r="T135" s="1126"/>
      <c r="U135" s="1126"/>
      <c r="V135" s="1126"/>
      <c r="W135" s="1126"/>
      <c r="X135" s="1126"/>
      <c r="Y135" s="1126"/>
      <c r="Z135" s="1126"/>
      <c r="AA135" s="1126"/>
    </row>
    <row r="136" ht="15.75" customHeight="1">
      <c r="A136" s="1126"/>
      <c r="B136" s="1126"/>
      <c r="C136" s="1126"/>
      <c r="D136" s="1126"/>
      <c r="E136" s="1126"/>
      <c r="F136" s="1126"/>
      <c r="G136" s="1126"/>
      <c r="H136" s="1126"/>
      <c r="I136" s="1126"/>
      <c r="J136" s="1126"/>
      <c r="K136" s="1126"/>
      <c r="L136" s="1126"/>
      <c r="M136" s="1126"/>
      <c r="N136" s="1126"/>
      <c r="O136" s="1126"/>
      <c r="P136" s="1126"/>
      <c r="Q136" s="1126"/>
      <c r="R136" s="1126"/>
      <c r="S136" s="1126"/>
      <c r="T136" s="1126"/>
      <c r="U136" s="1126"/>
      <c r="V136" s="1126"/>
      <c r="W136" s="1126"/>
      <c r="X136" s="1126"/>
      <c r="Y136" s="1126"/>
      <c r="Z136" s="1126"/>
      <c r="AA136" s="1126"/>
    </row>
    <row r="137" ht="15.75" customHeight="1">
      <c r="A137" s="1126"/>
      <c r="B137" s="1126"/>
      <c r="C137" s="1126"/>
      <c r="D137" s="1126"/>
      <c r="E137" s="1126"/>
      <c r="F137" s="1126"/>
      <c r="G137" s="1126"/>
      <c r="H137" s="1126"/>
      <c r="I137" s="1126"/>
      <c r="J137" s="1126"/>
      <c r="K137" s="1126"/>
      <c r="L137" s="1126"/>
      <c r="M137" s="1126"/>
      <c r="N137" s="1126"/>
      <c r="O137" s="1126"/>
      <c r="P137" s="1126"/>
      <c r="Q137" s="1126"/>
      <c r="R137" s="1126"/>
      <c r="S137" s="1126"/>
      <c r="T137" s="1126"/>
      <c r="U137" s="1126"/>
      <c r="V137" s="1126"/>
      <c r="W137" s="1126"/>
      <c r="X137" s="1126"/>
      <c r="Y137" s="1126"/>
      <c r="Z137" s="1126"/>
      <c r="AA137" s="1126"/>
    </row>
    <row r="138" ht="15.75" customHeight="1">
      <c r="A138" s="1126"/>
      <c r="B138" s="1126"/>
      <c r="C138" s="1126"/>
      <c r="D138" s="1126"/>
      <c r="E138" s="1126"/>
      <c r="F138" s="1126"/>
      <c r="G138" s="1126"/>
      <c r="H138" s="1126"/>
      <c r="I138" s="1126"/>
      <c r="J138" s="1126"/>
      <c r="K138" s="1126"/>
      <c r="L138" s="1126"/>
      <c r="M138" s="1126"/>
      <c r="N138" s="1126"/>
      <c r="O138" s="1126"/>
      <c r="P138" s="1126"/>
      <c r="Q138" s="1126"/>
      <c r="R138" s="1126"/>
      <c r="S138" s="1126"/>
      <c r="T138" s="1126"/>
      <c r="U138" s="1126"/>
      <c r="V138" s="1126"/>
      <c r="W138" s="1126"/>
      <c r="X138" s="1126"/>
      <c r="Y138" s="1126"/>
      <c r="Z138" s="1126"/>
      <c r="AA138" s="1126"/>
    </row>
    <row r="139" ht="15.75" customHeight="1">
      <c r="A139" s="1126"/>
      <c r="B139" s="1126"/>
      <c r="C139" s="1126"/>
      <c r="D139" s="1126"/>
      <c r="E139" s="1126"/>
      <c r="F139" s="1126"/>
      <c r="G139" s="1126"/>
      <c r="H139" s="1126"/>
      <c r="I139" s="1126"/>
      <c r="J139" s="1126"/>
      <c r="K139" s="1126"/>
      <c r="L139" s="1126"/>
      <c r="M139" s="1126"/>
      <c r="N139" s="1126"/>
      <c r="O139" s="1126"/>
      <c r="P139" s="1126"/>
      <c r="Q139" s="1126"/>
      <c r="R139" s="1126"/>
      <c r="S139" s="1126"/>
      <c r="T139" s="1126"/>
      <c r="U139" s="1126"/>
      <c r="V139" s="1126"/>
      <c r="W139" s="1126"/>
      <c r="X139" s="1126"/>
      <c r="Y139" s="1126"/>
      <c r="Z139" s="1126"/>
      <c r="AA139" s="1126"/>
    </row>
    <row r="140" ht="15.75" customHeight="1">
      <c r="A140" s="1126"/>
      <c r="B140" s="1126"/>
      <c r="C140" s="1126"/>
      <c r="D140" s="1126"/>
      <c r="E140" s="1126"/>
      <c r="F140" s="1126"/>
      <c r="G140" s="1126"/>
      <c r="H140" s="1126"/>
      <c r="I140" s="1126"/>
      <c r="J140" s="1126"/>
      <c r="K140" s="1126"/>
      <c r="L140" s="1126"/>
      <c r="M140" s="1126"/>
      <c r="N140" s="1126"/>
      <c r="O140" s="1126"/>
      <c r="P140" s="1126"/>
      <c r="Q140" s="1126"/>
      <c r="R140" s="1126"/>
      <c r="S140" s="1126"/>
      <c r="T140" s="1126"/>
      <c r="U140" s="1126"/>
      <c r="V140" s="1126"/>
      <c r="W140" s="1126"/>
      <c r="X140" s="1126"/>
      <c r="Y140" s="1126"/>
      <c r="Z140" s="1126"/>
      <c r="AA140" s="1126"/>
    </row>
    <row r="141" ht="15.75" customHeight="1">
      <c r="A141" s="1126"/>
      <c r="B141" s="1126"/>
      <c r="C141" s="1126"/>
      <c r="D141" s="1126"/>
      <c r="E141" s="1126"/>
      <c r="F141" s="1126"/>
      <c r="G141" s="1126"/>
      <c r="H141" s="1126"/>
      <c r="I141" s="1126"/>
      <c r="J141" s="1126"/>
      <c r="K141" s="1126"/>
      <c r="L141" s="1126"/>
      <c r="M141" s="1126"/>
      <c r="N141" s="1126"/>
      <c r="O141" s="1126"/>
      <c r="P141" s="1126"/>
      <c r="Q141" s="1126"/>
      <c r="R141" s="1126"/>
      <c r="S141" s="1126"/>
      <c r="T141" s="1126"/>
      <c r="U141" s="1126"/>
      <c r="V141" s="1126"/>
      <c r="W141" s="1126"/>
      <c r="X141" s="1126"/>
      <c r="Y141" s="1126"/>
      <c r="Z141" s="1126"/>
      <c r="AA141" s="1126"/>
    </row>
    <row r="142" ht="15.75" customHeight="1">
      <c r="A142" s="1126"/>
      <c r="B142" s="1126"/>
      <c r="C142" s="1126"/>
      <c r="D142" s="1126"/>
      <c r="E142" s="1126"/>
      <c r="F142" s="1126"/>
      <c r="G142" s="1126"/>
      <c r="H142" s="1126"/>
      <c r="I142" s="1126"/>
      <c r="J142" s="1126"/>
      <c r="K142" s="1126"/>
      <c r="L142" s="1126"/>
      <c r="M142" s="1126"/>
      <c r="N142" s="1126"/>
      <c r="O142" s="1126"/>
      <c r="P142" s="1126"/>
      <c r="Q142" s="1126"/>
      <c r="R142" s="1126"/>
      <c r="S142" s="1126"/>
      <c r="T142" s="1126"/>
      <c r="U142" s="1126"/>
      <c r="V142" s="1126"/>
      <c r="W142" s="1126"/>
      <c r="X142" s="1126"/>
      <c r="Y142" s="1126"/>
      <c r="Z142" s="1126"/>
      <c r="AA142" s="1126"/>
    </row>
    <row r="143" ht="15.75" customHeight="1">
      <c r="A143" s="1126"/>
      <c r="B143" s="1126"/>
      <c r="C143" s="1126"/>
      <c r="D143" s="1126"/>
      <c r="E143" s="1126"/>
      <c r="F143" s="1126"/>
      <c r="G143" s="1126"/>
      <c r="H143" s="1126"/>
      <c r="I143" s="1126"/>
      <c r="J143" s="1126"/>
      <c r="K143" s="1126"/>
      <c r="L143" s="1126"/>
      <c r="M143" s="1126"/>
      <c r="N143" s="1126"/>
      <c r="O143" s="1126"/>
      <c r="P143" s="1126"/>
      <c r="Q143" s="1126"/>
      <c r="R143" s="1126"/>
      <c r="S143" s="1126"/>
      <c r="T143" s="1126"/>
      <c r="U143" s="1126"/>
      <c r="V143" s="1126"/>
      <c r="W143" s="1126"/>
      <c r="X143" s="1126"/>
      <c r="Y143" s="1126"/>
      <c r="Z143" s="1126"/>
      <c r="AA143" s="1126"/>
    </row>
    <row r="144" ht="15.75" customHeight="1">
      <c r="A144" s="1126"/>
      <c r="B144" s="1126"/>
      <c r="C144" s="1126"/>
      <c r="D144" s="1126"/>
      <c r="E144" s="1126"/>
      <c r="F144" s="1126"/>
      <c r="G144" s="1126"/>
      <c r="H144" s="1126"/>
      <c r="I144" s="1126"/>
      <c r="J144" s="1126"/>
      <c r="K144" s="1126"/>
      <c r="L144" s="1126"/>
      <c r="M144" s="1126"/>
      <c r="N144" s="1126"/>
      <c r="O144" s="1126"/>
      <c r="P144" s="1126"/>
      <c r="Q144" s="1126"/>
      <c r="R144" s="1126"/>
      <c r="S144" s="1126"/>
      <c r="T144" s="1126"/>
      <c r="U144" s="1126"/>
      <c r="V144" s="1126"/>
      <c r="W144" s="1126"/>
      <c r="X144" s="1126"/>
      <c r="Y144" s="1126"/>
      <c r="Z144" s="1126"/>
      <c r="AA144" s="1126"/>
    </row>
    <row r="145" ht="15.75" customHeight="1">
      <c r="A145" s="1126"/>
      <c r="B145" s="1126"/>
      <c r="C145" s="1126"/>
      <c r="D145" s="1126"/>
      <c r="E145" s="1126"/>
      <c r="F145" s="1126"/>
      <c r="G145" s="1126"/>
      <c r="H145" s="1126"/>
      <c r="I145" s="1126"/>
      <c r="J145" s="1126"/>
      <c r="K145" s="1126"/>
      <c r="L145" s="1126"/>
      <c r="M145" s="1126"/>
      <c r="N145" s="1126"/>
      <c r="O145" s="1126"/>
      <c r="P145" s="1126"/>
      <c r="Q145" s="1126"/>
      <c r="R145" s="1126"/>
      <c r="S145" s="1126"/>
      <c r="T145" s="1126"/>
      <c r="U145" s="1126"/>
      <c r="V145" s="1126"/>
      <c r="W145" s="1126"/>
      <c r="X145" s="1126"/>
      <c r="Y145" s="1126"/>
      <c r="Z145" s="1126"/>
      <c r="AA145" s="1126"/>
    </row>
    <row r="146" ht="15.75" customHeight="1">
      <c r="A146" s="1126"/>
      <c r="B146" s="1126"/>
      <c r="C146" s="1126"/>
      <c r="D146" s="1126"/>
      <c r="E146" s="1126"/>
      <c r="F146" s="1126"/>
      <c r="G146" s="1126"/>
      <c r="H146" s="1126"/>
      <c r="I146" s="1126"/>
      <c r="J146" s="1126"/>
      <c r="K146" s="1126"/>
      <c r="L146" s="1126"/>
      <c r="M146" s="1126"/>
      <c r="N146" s="1126"/>
      <c r="O146" s="1126"/>
      <c r="P146" s="1126"/>
      <c r="Q146" s="1126"/>
      <c r="R146" s="1126"/>
      <c r="S146" s="1126"/>
      <c r="T146" s="1126"/>
      <c r="U146" s="1126"/>
      <c r="V146" s="1126"/>
      <c r="W146" s="1126"/>
      <c r="X146" s="1126"/>
      <c r="Y146" s="1126"/>
      <c r="Z146" s="1126"/>
      <c r="AA146" s="1126"/>
    </row>
    <row r="147" ht="15.75" customHeight="1">
      <c r="A147" s="1126"/>
      <c r="B147" s="1126"/>
      <c r="C147" s="1126"/>
      <c r="D147" s="1126"/>
      <c r="E147" s="1126"/>
      <c r="F147" s="1126"/>
      <c r="G147" s="1126"/>
      <c r="H147" s="1126"/>
      <c r="I147" s="1126"/>
      <c r="J147" s="1126"/>
      <c r="K147" s="1126"/>
      <c r="L147" s="1126"/>
      <c r="M147" s="1126"/>
      <c r="N147" s="1126"/>
      <c r="O147" s="1126"/>
      <c r="P147" s="1126"/>
      <c r="Q147" s="1126"/>
      <c r="R147" s="1126"/>
      <c r="S147" s="1126"/>
      <c r="T147" s="1126"/>
      <c r="U147" s="1126"/>
      <c r="V147" s="1126"/>
      <c r="W147" s="1126"/>
      <c r="X147" s="1126"/>
      <c r="Y147" s="1126"/>
      <c r="Z147" s="1126"/>
      <c r="AA147" s="1126"/>
    </row>
    <row r="148" ht="15.75" customHeight="1">
      <c r="A148" s="1126"/>
      <c r="B148" s="1126"/>
      <c r="C148" s="1126"/>
      <c r="D148" s="1126"/>
      <c r="E148" s="1126"/>
      <c r="F148" s="1126"/>
      <c r="G148" s="1126"/>
      <c r="H148" s="1126"/>
      <c r="I148" s="1126"/>
      <c r="J148" s="1126"/>
      <c r="K148" s="1126"/>
      <c r="L148" s="1126"/>
      <c r="M148" s="1126"/>
      <c r="N148" s="1126"/>
      <c r="O148" s="1126"/>
      <c r="P148" s="1126"/>
      <c r="Q148" s="1126"/>
      <c r="R148" s="1126"/>
      <c r="S148" s="1126"/>
      <c r="T148" s="1126"/>
      <c r="U148" s="1126"/>
      <c r="V148" s="1126"/>
      <c r="W148" s="1126"/>
      <c r="X148" s="1126"/>
      <c r="Y148" s="1126"/>
      <c r="Z148" s="1126"/>
      <c r="AA148" s="1126"/>
    </row>
    <row r="149" ht="15.75" customHeight="1">
      <c r="A149" s="1126"/>
      <c r="B149" s="1126"/>
      <c r="C149" s="1126"/>
      <c r="D149" s="1126"/>
      <c r="E149" s="1126"/>
      <c r="F149" s="1126"/>
      <c r="G149" s="1126"/>
      <c r="H149" s="1126"/>
      <c r="I149" s="1126"/>
      <c r="J149" s="1126"/>
      <c r="K149" s="1126"/>
      <c r="L149" s="1126"/>
      <c r="M149" s="1126"/>
      <c r="N149" s="1126"/>
      <c r="O149" s="1126"/>
      <c r="P149" s="1126"/>
      <c r="Q149" s="1126"/>
      <c r="R149" s="1126"/>
      <c r="S149" s="1126"/>
      <c r="T149" s="1126"/>
      <c r="U149" s="1126"/>
      <c r="V149" s="1126"/>
      <c r="W149" s="1126"/>
      <c r="X149" s="1126"/>
      <c r="Y149" s="1126"/>
      <c r="Z149" s="1126"/>
      <c r="AA149" s="1126"/>
    </row>
    <row r="150" ht="15.75" customHeight="1">
      <c r="A150" s="1126"/>
      <c r="B150" s="1126"/>
      <c r="C150" s="1126"/>
      <c r="D150" s="1126"/>
      <c r="E150" s="1126"/>
      <c r="F150" s="1126"/>
      <c r="G150" s="1126"/>
      <c r="H150" s="1126"/>
      <c r="I150" s="1126"/>
      <c r="J150" s="1126"/>
      <c r="K150" s="1126"/>
      <c r="L150" s="1126"/>
      <c r="M150" s="1126"/>
      <c r="N150" s="1126"/>
      <c r="O150" s="1126"/>
      <c r="P150" s="1126"/>
      <c r="Q150" s="1126"/>
      <c r="R150" s="1126"/>
      <c r="S150" s="1126"/>
      <c r="T150" s="1126"/>
      <c r="U150" s="1126"/>
      <c r="V150" s="1126"/>
      <c r="W150" s="1126"/>
      <c r="X150" s="1126"/>
      <c r="Y150" s="1126"/>
      <c r="Z150" s="1126"/>
      <c r="AA150" s="1126"/>
    </row>
    <row r="151" ht="15.75" customHeight="1">
      <c r="A151" s="1126"/>
      <c r="B151" s="1126"/>
      <c r="C151" s="1126"/>
      <c r="D151" s="1126"/>
      <c r="E151" s="1126"/>
      <c r="F151" s="1126"/>
      <c r="G151" s="1126"/>
      <c r="H151" s="1126"/>
      <c r="I151" s="1126"/>
      <c r="J151" s="1126"/>
      <c r="K151" s="1126"/>
      <c r="L151" s="1126"/>
      <c r="M151" s="1126"/>
      <c r="N151" s="1126"/>
      <c r="O151" s="1126"/>
      <c r="P151" s="1126"/>
      <c r="Q151" s="1126"/>
      <c r="R151" s="1126"/>
      <c r="S151" s="1126"/>
      <c r="T151" s="1126"/>
      <c r="U151" s="1126"/>
      <c r="V151" s="1126"/>
      <c r="W151" s="1126"/>
      <c r="X151" s="1126"/>
      <c r="Y151" s="1126"/>
      <c r="Z151" s="1126"/>
      <c r="AA151" s="1126"/>
    </row>
    <row r="152" ht="15.75" customHeight="1">
      <c r="A152" s="1126"/>
      <c r="B152" s="1126"/>
      <c r="C152" s="1126"/>
      <c r="D152" s="1126"/>
      <c r="E152" s="1126"/>
      <c r="F152" s="1126"/>
      <c r="G152" s="1126"/>
      <c r="H152" s="1126"/>
      <c r="I152" s="1126"/>
      <c r="J152" s="1126"/>
      <c r="K152" s="1126"/>
      <c r="L152" s="1126"/>
      <c r="M152" s="1126"/>
      <c r="N152" s="1126"/>
      <c r="O152" s="1126"/>
      <c r="P152" s="1126"/>
      <c r="Q152" s="1126"/>
      <c r="R152" s="1126"/>
      <c r="S152" s="1126"/>
      <c r="T152" s="1126"/>
      <c r="U152" s="1126"/>
      <c r="V152" s="1126"/>
      <c r="W152" s="1126"/>
      <c r="X152" s="1126"/>
      <c r="Y152" s="1126"/>
      <c r="Z152" s="1126"/>
      <c r="AA152" s="1126"/>
    </row>
    <row r="153" ht="15.75" customHeight="1">
      <c r="A153" s="1126"/>
      <c r="B153" s="1126"/>
      <c r="C153" s="1126"/>
      <c r="D153" s="1126"/>
      <c r="E153" s="1126"/>
      <c r="F153" s="1126"/>
      <c r="G153" s="1126"/>
      <c r="H153" s="1126"/>
      <c r="I153" s="1126"/>
      <c r="J153" s="1126"/>
      <c r="K153" s="1126"/>
      <c r="L153" s="1126"/>
      <c r="M153" s="1126"/>
      <c r="N153" s="1126"/>
      <c r="O153" s="1126"/>
      <c r="P153" s="1126"/>
      <c r="Q153" s="1126"/>
      <c r="R153" s="1126"/>
      <c r="S153" s="1126"/>
      <c r="T153" s="1126"/>
      <c r="U153" s="1126"/>
      <c r="V153" s="1126"/>
      <c r="W153" s="1126"/>
      <c r="X153" s="1126"/>
      <c r="Y153" s="1126"/>
      <c r="Z153" s="1126"/>
      <c r="AA153" s="1126"/>
    </row>
    <row r="154" ht="15.75" customHeight="1">
      <c r="A154" s="1126"/>
      <c r="B154" s="1126"/>
      <c r="C154" s="1126"/>
      <c r="D154" s="1126"/>
      <c r="E154" s="1126"/>
      <c r="F154" s="1126"/>
      <c r="G154" s="1126"/>
      <c r="H154" s="1126"/>
      <c r="I154" s="1126"/>
      <c r="J154" s="1126"/>
      <c r="K154" s="1126"/>
      <c r="L154" s="1126"/>
      <c r="M154" s="1126"/>
      <c r="N154" s="1126"/>
      <c r="O154" s="1126"/>
      <c r="P154" s="1126"/>
      <c r="Q154" s="1126"/>
      <c r="R154" s="1126"/>
      <c r="S154" s="1126"/>
      <c r="T154" s="1126"/>
      <c r="U154" s="1126"/>
      <c r="V154" s="1126"/>
      <c r="W154" s="1126"/>
      <c r="X154" s="1126"/>
      <c r="Y154" s="1126"/>
      <c r="Z154" s="1126"/>
      <c r="AA154" s="1126"/>
    </row>
    <row r="155" ht="15.75" customHeight="1">
      <c r="A155" s="1126"/>
      <c r="B155" s="1126"/>
      <c r="C155" s="1126"/>
      <c r="D155" s="1126"/>
      <c r="E155" s="1126"/>
      <c r="F155" s="1126"/>
      <c r="G155" s="1126"/>
      <c r="H155" s="1126"/>
      <c r="I155" s="1126"/>
      <c r="J155" s="1126"/>
      <c r="K155" s="1126"/>
      <c r="L155" s="1126"/>
      <c r="M155" s="1126"/>
      <c r="N155" s="1126"/>
      <c r="O155" s="1126"/>
      <c r="P155" s="1126"/>
      <c r="Q155" s="1126"/>
      <c r="R155" s="1126"/>
      <c r="S155" s="1126"/>
      <c r="T155" s="1126"/>
      <c r="U155" s="1126"/>
      <c r="V155" s="1126"/>
      <c r="W155" s="1126"/>
      <c r="X155" s="1126"/>
      <c r="Y155" s="1126"/>
      <c r="Z155" s="1126"/>
      <c r="AA155" s="1126"/>
    </row>
    <row r="156" ht="15.75" customHeight="1">
      <c r="A156" s="1126"/>
      <c r="B156" s="1126"/>
      <c r="C156" s="1126"/>
      <c r="D156" s="1126"/>
      <c r="E156" s="1126"/>
      <c r="F156" s="1126"/>
      <c r="G156" s="1126"/>
      <c r="H156" s="1126"/>
      <c r="I156" s="1126"/>
      <c r="J156" s="1126"/>
      <c r="K156" s="1126"/>
      <c r="L156" s="1126"/>
      <c r="M156" s="1126"/>
      <c r="N156" s="1126"/>
      <c r="O156" s="1126"/>
      <c r="P156" s="1126"/>
      <c r="Q156" s="1126"/>
      <c r="R156" s="1126"/>
      <c r="S156" s="1126"/>
      <c r="T156" s="1126"/>
      <c r="U156" s="1126"/>
      <c r="V156" s="1126"/>
      <c r="W156" s="1126"/>
      <c r="X156" s="1126"/>
      <c r="Y156" s="1126"/>
      <c r="Z156" s="1126"/>
      <c r="AA156" s="1126"/>
    </row>
    <row r="157" ht="15.75" customHeight="1">
      <c r="A157" s="1126"/>
      <c r="B157" s="1126"/>
      <c r="C157" s="1126"/>
      <c r="D157" s="1126"/>
      <c r="E157" s="1126"/>
      <c r="F157" s="1126"/>
      <c r="G157" s="1126"/>
      <c r="H157" s="1126"/>
      <c r="I157" s="1126"/>
      <c r="J157" s="1126"/>
      <c r="K157" s="1126"/>
      <c r="L157" s="1126"/>
      <c r="M157" s="1126"/>
      <c r="N157" s="1126"/>
      <c r="O157" s="1126"/>
      <c r="P157" s="1126"/>
      <c r="Q157" s="1126"/>
      <c r="R157" s="1126"/>
      <c r="S157" s="1126"/>
      <c r="T157" s="1126"/>
      <c r="U157" s="1126"/>
      <c r="V157" s="1126"/>
      <c r="W157" s="1126"/>
      <c r="X157" s="1126"/>
      <c r="Y157" s="1126"/>
      <c r="Z157" s="1126"/>
      <c r="AA157" s="1126"/>
    </row>
    <row r="158" ht="15.75" customHeight="1">
      <c r="A158" s="1126"/>
      <c r="B158" s="1126"/>
      <c r="C158" s="1126"/>
      <c r="D158" s="1126"/>
      <c r="E158" s="1126"/>
      <c r="F158" s="1126"/>
      <c r="G158" s="1126"/>
      <c r="H158" s="1126"/>
      <c r="I158" s="1126"/>
      <c r="J158" s="1126"/>
      <c r="K158" s="1126"/>
      <c r="L158" s="1126"/>
      <c r="M158" s="1126"/>
      <c r="N158" s="1126"/>
      <c r="O158" s="1126"/>
      <c r="P158" s="1126"/>
      <c r="Q158" s="1126"/>
      <c r="R158" s="1126"/>
      <c r="S158" s="1126"/>
      <c r="T158" s="1126"/>
      <c r="U158" s="1126"/>
      <c r="V158" s="1126"/>
      <c r="W158" s="1126"/>
      <c r="X158" s="1126"/>
      <c r="Y158" s="1126"/>
      <c r="Z158" s="1126"/>
      <c r="AA158" s="1126"/>
    </row>
    <row r="159" ht="15.75" customHeight="1">
      <c r="A159" s="1126"/>
      <c r="B159" s="1126"/>
      <c r="C159" s="1126"/>
      <c r="D159" s="1126"/>
      <c r="E159" s="1126"/>
      <c r="F159" s="1126"/>
      <c r="G159" s="1126"/>
      <c r="H159" s="1126"/>
      <c r="I159" s="1126"/>
      <c r="J159" s="1126"/>
      <c r="K159" s="1126"/>
      <c r="L159" s="1126"/>
      <c r="M159" s="1126"/>
      <c r="N159" s="1126"/>
      <c r="O159" s="1126"/>
      <c r="P159" s="1126"/>
      <c r="Q159" s="1126"/>
      <c r="R159" s="1126"/>
      <c r="S159" s="1126"/>
      <c r="T159" s="1126"/>
      <c r="U159" s="1126"/>
      <c r="V159" s="1126"/>
      <c r="W159" s="1126"/>
      <c r="X159" s="1126"/>
      <c r="Y159" s="1126"/>
      <c r="Z159" s="1126"/>
      <c r="AA159" s="1126"/>
    </row>
    <row r="160" ht="15.75" customHeight="1">
      <c r="A160" s="1126"/>
      <c r="B160" s="1126"/>
      <c r="C160" s="1126"/>
      <c r="D160" s="1126"/>
      <c r="E160" s="1126"/>
      <c r="F160" s="1126"/>
      <c r="G160" s="1126"/>
      <c r="H160" s="1126"/>
      <c r="I160" s="1126"/>
      <c r="J160" s="1126"/>
      <c r="K160" s="1126"/>
      <c r="L160" s="1126"/>
      <c r="M160" s="1126"/>
      <c r="N160" s="1126"/>
      <c r="O160" s="1126"/>
      <c r="P160" s="1126"/>
      <c r="Q160" s="1126"/>
      <c r="R160" s="1126"/>
      <c r="S160" s="1126"/>
      <c r="T160" s="1126"/>
      <c r="U160" s="1126"/>
      <c r="V160" s="1126"/>
      <c r="W160" s="1126"/>
      <c r="X160" s="1126"/>
      <c r="Y160" s="1126"/>
      <c r="Z160" s="1126"/>
      <c r="AA160" s="1126"/>
    </row>
    <row r="161" ht="15.75" customHeight="1">
      <c r="A161" s="1126"/>
      <c r="B161" s="1126"/>
      <c r="C161" s="1126"/>
      <c r="D161" s="1126"/>
      <c r="E161" s="1126"/>
      <c r="F161" s="1126"/>
      <c r="G161" s="1126"/>
      <c r="H161" s="1126"/>
      <c r="I161" s="1126"/>
      <c r="J161" s="1126"/>
      <c r="K161" s="1126"/>
      <c r="L161" s="1126"/>
      <c r="M161" s="1126"/>
      <c r="N161" s="1126"/>
      <c r="O161" s="1126"/>
      <c r="P161" s="1126"/>
      <c r="Q161" s="1126"/>
      <c r="R161" s="1126"/>
      <c r="S161" s="1126"/>
      <c r="T161" s="1126"/>
      <c r="U161" s="1126"/>
      <c r="V161" s="1126"/>
      <c r="W161" s="1126"/>
      <c r="X161" s="1126"/>
      <c r="Y161" s="1126"/>
      <c r="Z161" s="1126"/>
      <c r="AA161" s="1126"/>
    </row>
    <row r="162" ht="15.75" customHeight="1">
      <c r="A162" s="1126"/>
      <c r="B162" s="1126"/>
      <c r="C162" s="1126"/>
      <c r="D162" s="1126"/>
      <c r="E162" s="1126"/>
      <c r="F162" s="1126"/>
      <c r="G162" s="1126"/>
      <c r="H162" s="1126"/>
      <c r="I162" s="1126"/>
      <c r="J162" s="1126"/>
      <c r="K162" s="1126"/>
      <c r="L162" s="1126"/>
      <c r="M162" s="1126"/>
      <c r="N162" s="1126"/>
      <c r="O162" s="1126"/>
      <c r="P162" s="1126"/>
      <c r="Q162" s="1126"/>
      <c r="R162" s="1126"/>
      <c r="S162" s="1126"/>
      <c r="T162" s="1126"/>
      <c r="U162" s="1126"/>
      <c r="V162" s="1126"/>
      <c r="W162" s="1126"/>
      <c r="X162" s="1126"/>
      <c r="Y162" s="1126"/>
      <c r="Z162" s="1126"/>
      <c r="AA162" s="1126"/>
    </row>
    <row r="163" ht="15.75" customHeight="1">
      <c r="A163" s="1126"/>
      <c r="B163" s="1126"/>
      <c r="C163" s="1126"/>
      <c r="D163" s="1126"/>
      <c r="E163" s="1126"/>
      <c r="F163" s="1126"/>
      <c r="G163" s="1126"/>
      <c r="H163" s="1126"/>
      <c r="I163" s="1126"/>
      <c r="J163" s="1126"/>
      <c r="K163" s="1126"/>
      <c r="L163" s="1126"/>
      <c r="M163" s="1126"/>
      <c r="N163" s="1126"/>
      <c r="O163" s="1126"/>
      <c r="P163" s="1126"/>
      <c r="Q163" s="1126"/>
      <c r="R163" s="1126"/>
      <c r="S163" s="1126"/>
      <c r="T163" s="1126"/>
      <c r="U163" s="1126"/>
      <c r="V163" s="1126"/>
      <c r="W163" s="1126"/>
      <c r="X163" s="1126"/>
      <c r="Y163" s="1126"/>
      <c r="Z163" s="1126"/>
      <c r="AA163" s="1126"/>
    </row>
    <row r="164" ht="15.75" customHeight="1">
      <c r="A164" s="1126"/>
      <c r="B164" s="1126"/>
      <c r="C164" s="1126"/>
      <c r="D164" s="1126"/>
      <c r="E164" s="1126"/>
      <c r="F164" s="1126"/>
      <c r="G164" s="1126"/>
      <c r="H164" s="1126"/>
      <c r="I164" s="1126"/>
      <c r="J164" s="1126"/>
      <c r="K164" s="1126"/>
      <c r="L164" s="1126"/>
      <c r="M164" s="1126"/>
      <c r="N164" s="1126"/>
      <c r="O164" s="1126"/>
      <c r="P164" s="1126"/>
      <c r="Q164" s="1126"/>
      <c r="R164" s="1126"/>
      <c r="S164" s="1126"/>
      <c r="T164" s="1126"/>
      <c r="U164" s="1126"/>
      <c r="V164" s="1126"/>
      <c r="W164" s="1126"/>
      <c r="X164" s="1126"/>
      <c r="Y164" s="1126"/>
      <c r="Z164" s="1126"/>
      <c r="AA164" s="1126"/>
    </row>
    <row r="165" ht="15.75" customHeight="1">
      <c r="A165" s="1126"/>
      <c r="B165" s="1126"/>
      <c r="C165" s="1126"/>
      <c r="D165" s="1126"/>
      <c r="E165" s="1126"/>
      <c r="F165" s="1126"/>
      <c r="G165" s="1126"/>
      <c r="H165" s="1126"/>
      <c r="I165" s="1126"/>
      <c r="J165" s="1126"/>
      <c r="K165" s="1126"/>
      <c r="L165" s="1126"/>
      <c r="M165" s="1126"/>
      <c r="N165" s="1126"/>
      <c r="O165" s="1126"/>
      <c r="P165" s="1126"/>
      <c r="Q165" s="1126"/>
      <c r="R165" s="1126"/>
      <c r="S165" s="1126"/>
      <c r="T165" s="1126"/>
      <c r="U165" s="1126"/>
      <c r="V165" s="1126"/>
      <c r="W165" s="1126"/>
      <c r="X165" s="1126"/>
      <c r="Y165" s="1126"/>
      <c r="Z165" s="1126"/>
      <c r="AA165" s="1126"/>
    </row>
    <row r="166" ht="15.75" customHeight="1">
      <c r="A166" s="1126"/>
      <c r="B166" s="1126"/>
      <c r="C166" s="1126"/>
      <c r="D166" s="1126"/>
      <c r="E166" s="1126"/>
      <c r="F166" s="1126"/>
      <c r="G166" s="1126"/>
      <c r="H166" s="1126"/>
      <c r="I166" s="1126"/>
      <c r="J166" s="1126"/>
      <c r="K166" s="1126"/>
      <c r="L166" s="1126"/>
      <c r="M166" s="1126"/>
      <c r="N166" s="1126"/>
      <c r="O166" s="1126"/>
      <c r="P166" s="1126"/>
      <c r="Q166" s="1126"/>
      <c r="R166" s="1126"/>
      <c r="S166" s="1126"/>
      <c r="T166" s="1126"/>
      <c r="U166" s="1126"/>
      <c r="V166" s="1126"/>
      <c r="W166" s="1126"/>
      <c r="X166" s="1126"/>
      <c r="Y166" s="1126"/>
      <c r="Z166" s="1126"/>
      <c r="AA166" s="1126"/>
    </row>
    <row r="167" ht="15.75" customHeight="1">
      <c r="A167" s="1126"/>
      <c r="B167" s="1126"/>
      <c r="C167" s="1126"/>
      <c r="D167" s="1126"/>
      <c r="E167" s="1126"/>
      <c r="F167" s="1126"/>
      <c r="G167" s="1126"/>
      <c r="H167" s="1126"/>
      <c r="I167" s="1126"/>
      <c r="J167" s="1126"/>
      <c r="K167" s="1126"/>
      <c r="L167" s="1126"/>
      <c r="M167" s="1126"/>
      <c r="N167" s="1126"/>
      <c r="O167" s="1126"/>
      <c r="P167" s="1126"/>
      <c r="Q167" s="1126"/>
      <c r="R167" s="1126"/>
      <c r="S167" s="1126"/>
      <c r="T167" s="1126"/>
      <c r="U167" s="1126"/>
      <c r="V167" s="1126"/>
      <c r="W167" s="1126"/>
      <c r="X167" s="1126"/>
      <c r="Y167" s="1126"/>
      <c r="Z167" s="1126"/>
      <c r="AA167" s="1126"/>
    </row>
    <row r="168" ht="15.75" customHeight="1">
      <c r="A168" s="1126"/>
      <c r="B168" s="1126"/>
      <c r="C168" s="1126"/>
      <c r="D168" s="1126"/>
      <c r="E168" s="1126"/>
      <c r="F168" s="1126"/>
      <c r="G168" s="1126"/>
      <c r="H168" s="1126"/>
      <c r="I168" s="1126"/>
      <c r="J168" s="1126"/>
      <c r="K168" s="1126"/>
      <c r="L168" s="1126"/>
      <c r="M168" s="1126"/>
      <c r="N168" s="1126"/>
      <c r="O168" s="1126"/>
      <c r="P168" s="1126"/>
      <c r="Q168" s="1126"/>
      <c r="R168" s="1126"/>
      <c r="S168" s="1126"/>
      <c r="T168" s="1126"/>
      <c r="U168" s="1126"/>
      <c r="V168" s="1126"/>
      <c r="W168" s="1126"/>
      <c r="X168" s="1126"/>
      <c r="Y168" s="1126"/>
      <c r="Z168" s="1126"/>
      <c r="AA168" s="1126"/>
    </row>
    <row r="169" ht="15.75" customHeight="1">
      <c r="A169" s="1126"/>
      <c r="B169" s="1126"/>
      <c r="C169" s="1126"/>
      <c r="D169" s="1126"/>
      <c r="E169" s="1126"/>
      <c r="F169" s="1126"/>
      <c r="G169" s="1126"/>
      <c r="H169" s="1126"/>
      <c r="I169" s="1126"/>
      <c r="J169" s="1126"/>
      <c r="K169" s="1126"/>
      <c r="L169" s="1126"/>
      <c r="M169" s="1126"/>
      <c r="N169" s="1126"/>
      <c r="O169" s="1126"/>
      <c r="P169" s="1126"/>
      <c r="Q169" s="1126"/>
      <c r="R169" s="1126"/>
      <c r="S169" s="1126"/>
      <c r="T169" s="1126"/>
      <c r="U169" s="1126"/>
      <c r="V169" s="1126"/>
      <c r="W169" s="1126"/>
      <c r="X169" s="1126"/>
      <c r="Y169" s="1126"/>
      <c r="Z169" s="1126"/>
      <c r="AA169" s="1126"/>
    </row>
    <row r="170" ht="15.75" customHeight="1">
      <c r="A170" s="1126"/>
      <c r="B170" s="1126"/>
      <c r="C170" s="1126"/>
      <c r="D170" s="1126"/>
      <c r="E170" s="1126"/>
      <c r="F170" s="1126"/>
      <c r="G170" s="1126"/>
      <c r="H170" s="1126"/>
      <c r="I170" s="1126"/>
      <c r="J170" s="1126"/>
      <c r="K170" s="1126"/>
      <c r="L170" s="1126"/>
      <c r="M170" s="1126"/>
      <c r="N170" s="1126"/>
      <c r="O170" s="1126"/>
      <c r="P170" s="1126"/>
      <c r="Q170" s="1126"/>
      <c r="R170" s="1126"/>
      <c r="S170" s="1126"/>
      <c r="T170" s="1126"/>
      <c r="U170" s="1126"/>
      <c r="V170" s="1126"/>
      <c r="W170" s="1126"/>
      <c r="X170" s="1126"/>
      <c r="Y170" s="1126"/>
      <c r="Z170" s="1126"/>
      <c r="AA170" s="1126"/>
    </row>
    <row r="171" ht="15.75" customHeight="1">
      <c r="A171" s="1126"/>
      <c r="B171" s="1126"/>
      <c r="C171" s="1126"/>
      <c r="D171" s="1126"/>
      <c r="E171" s="1126"/>
      <c r="F171" s="1126"/>
      <c r="G171" s="1126"/>
      <c r="H171" s="1126"/>
      <c r="I171" s="1126"/>
      <c r="J171" s="1126"/>
      <c r="K171" s="1126"/>
      <c r="L171" s="1126"/>
      <c r="M171" s="1126"/>
      <c r="N171" s="1126"/>
      <c r="O171" s="1126"/>
      <c r="P171" s="1126"/>
      <c r="Q171" s="1126"/>
      <c r="R171" s="1126"/>
      <c r="S171" s="1126"/>
      <c r="T171" s="1126"/>
      <c r="U171" s="1126"/>
      <c r="V171" s="1126"/>
      <c r="W171" s="1126"/>
      <c r="X171" s="1126"/>
      <c r="Y171" s="1126"/>
      <c r="Z171" s="1126"/>
      <c r="AA171" s="1126"/>
    </row>
    <row r="172" ht="15.75" customHeight="1">
      <c r="A172" s="1126"/>
      <c r="B172" s="1126"/>
      <c r="C172" s="1126"/>
      <c r="D172" s="1126"/>
      <c r="E172" s="1126"/>
      <c r="F172" s="1126"/>
      <c r="G172" s="1126"/>
      <c r="H172" s="1126"/>
      <c r="I172" s="1126"/>
      <c r="J172" s="1126"/>
      <c r="K172" s="1126"/>
      <c r="L172" s="1126"/>
      <c r="M172" s="1126"/>
      <c r="N172" s="1126"/>
      <c r="O172" s="1126"/>
      <c r="P172" s="1126"/>
      <c r="Q172" s="1126"/>
      <c r="R172" s="1126"/>
      <c r="S172" s="1126"/>
      <c r="T172" s="1126"/>
      <c r="U172" s="1126"/>
      <c r="V172" s="1126"/>
      <c r="W172" s="1126"/>
      <c r="X172" s="1126"/>
      <c r="Y172" s="1126"/>
      <c r="Z172" s="1126"/>
      <c r="AA172" s="1126"/>
    </row>
    <row r="173" ht="15.75" customHeight="1">
      <c r="A173" s="1126"/>
      <c r="B173" s="1126"/>
      <c r="C173" s="1126"/>
      <c r="D173" s="1126"/>
      <c r="E173" s="1126"/>
      <c r="F173" s="1126"/>
      <c r="G173" s="1126"/>
      <c r="H173" s="1126"/>
      <c r="I173" s="1126"/>
      <c r="J173" s="1126"/>
      <c r="K173" s="1126"/>
      <c r="L173" s="1126"/>
      <c r="M173" s="1126"/>
      <c r="N173" s="1126"/>
      <c r="O173" s="1126"/>
      <c r="P173" s="1126"/>
      <c r="Q173" s="1126"/>
      <c r="R173" s="1126"/>
      <c r="S173" s="1126"/>
      <c r="T173" s="1126"/>
      <c r="U173" s="1126"/>
      <c r="V173" s="1126"/>
      <c r="W173" s="1126"/>
      <c r="X173" s="1126"/>
      <c r="Y173" s="1126"/>
      <c r="Z173" s="1126"/>
      <c r="AA173" s="1126"/>
    </row>
    <row r="174" ht="15.75" customHeight="1">
      <c r="A174" s="1126"/>
      <c r="B174" s="1126"/>
      <c r="C174" s="1126"/>
      <c r="D174" s="1126"/>
      <c r="E174" s="1126"/>
      <c r="F174" s="1126"/>
      <c r="G174" s="1126"/>
      <c r="H174" s="1126"/>
      <c r="I174" s="1126"/>
      <c r="J174" s="1126"/>
      <c r="K174" s="1126"/>
      <c r="L174" s="1126"/>
      <c r="M174" s="1126"/>
      <c r="N174" s="1126"/>
      <c r="O174" s="1126"/>
      <c r="P174" s="1126"/>
      <c r="Q174" s="1126"/>
      <c r="R174" s="1126"/>
      <c r="S174" s="1126"/>
      <c r="T174" s="1126"/>
      <c r="U174" s="1126"/>
      <c r="V174" s="1126"/>
      <c r="W174" s="1126"/>
      <c r="X174" s="1126"/>
      <c r="Y174" s="1126"/>
      <c r="Z174" s="1126"/>
      <c r="AA174" s="1126"/>
    </row>
    <row r="175" ht="15.75" customHeight="1">
      <c r="A175" s="1126"/>
      <c r="B175" s="1126"/>
      <c r="C175" s="1126"/>
      <c r="D175" s="1126"/>
      <c r="E175" s="1126"/>
      <c r="F175" s="1126"/>
      <c r="G175" s="1126"/>
      <c r="H175" s="1126"/>
      <c r="I175" s="1126"/>
      <c r="J175" s="1126"/>
      <c r="K175" s="1126"/>
      <c r="L175" s="1126"/>
      <c r="M175" s="1126"/>
      <c r="N175" s="1126"/>
      <c r="O175" s="1126"/>
      <c r="P175" s="1126"/>
      <c r="Q175" s="1126"/>
      <c r="R175" s="1126"/>
      <c r="S175" s="1126"/>
      <c r="T175" s="1126"/>
      <c r="U175" s="1126"/>
      <c r="V175" s="1126"/>
      <c r="W175" s="1126"/>
      <c r="X175" s="1126"/>
      <c r="Y175" s="1126"/>
      <c r="Z175" s="1126"/>
      <c r="AA175" s="1126"/>
    </row>
    <row r="176" ht="15.75" customHeight="1">
      <c r="A176" s="1126"/>
      <c r="B176" s="1126"/>
      <c r="C176" s="1126"/>
      <c r="D176" s="1126"/>
      <c r="E176" s="1126"/>
      <c r="F176" s="1126"/>
      <c r="G176" s="1126"/>
      <c r="H176" s="1126"/>
      <c r="I176" s="1126"/>
      <c r="J176" s="1126"/>
      <c r="K176" s="1126"/>
      <c r="L176" s="1126"/>
      <c r="M176" s="1126"/>
      <c r="N176" s="1126"/>
      <c r="O176" s="1126"/>
      <c r="P176" s="1126"/>
      <c r="Q176" s="1126"/>
      <c r="R176" s="1126"/>
      <c r="S176" s="1126"/>
      <c r="T176" s="1126"/>
      <c r="U176" s="1126"/>
      <c r="V176" s="1126"/>
      <c r="W176" s="1126"/>
      <c r="X176" s="1126"/>
      <c r="Y176" s="1126"/>
      <c r="Z176" s="1126"/>
      <c r="AA176" s="1126"/>
    </row>
    <row r="177" ht="15.75" customHeight="1">
      <c r="A177" s="1126"/>
      <c r="B177" s="1126"/>
      <c r="C177" s="1126"/>
      <c r="D177" s="1126"/>
      <c r="E177" s="1126"/>
      <c r="F177" s="1126"/>
      <c r="G177" s="1126"/>
      <c r="H177" s="1126"/>
      <c r="I177" s="1126"/>
      <c r="J177" s="1126"/>
      <c r="K177" s="1126"/>
      <c r="L177" s="1126"/>
      <c r="M177" s="1126"/>
      <c r="N177" s="1126"/>
      <c r="O177" s="1126"/>
      <c r="P177" s="1126"/>
      <c r="Q177" s="1126"/>
      <c r="R177" s="1126"/>
      <c r="S177" s="1126"/>
      <c r="T177" s="1126"/>
      <c r="U177" s="1126"/>
      <c r="V177" s="1126"/>
      <c r="W177" s="1126"/>
      <c r="X177" s="1126"/>
      <c r="Y177" s="1126"/>
      <c r="Z177" s="1126"/>
      <c r="AA177" s="1126"/>
    </row>
    <row r="178" ht="15.75" customHeight="1">
      <c r="A178" s="1126"/>
      <c r="B178" s="1126"/>
      <c r="C178" s="1126"/>
      <c r="D178" s="1126"/>
      <c r="E178" s="1126"/>
      <c r="F178" s="1126"/>
      <c r="G178" s="1126"/>
      <c r="H178" s="1126"/>
      <c r="I178" s="1126"/>
      <c r="J178" s="1126"/>
      <c r="K178" s="1126"/>
      <c r="L178" s="1126"/>
      <c r="M178" s="1126"/>
      <c r="N178" s="1126"/>
      <c r="O178" s="1126"/>
      <c r="P178" s="1126"/>
      <c r="Q178" s="1126"/>
      <c r="R178" s="1126"/>
      <c r="S178" s="1126"/>
      <c r="T178" s="1126"/>
      <c r="U178" s="1126"/>
      <c r="V178" s="1126"/>
      <c r="W178" s="1126"/>
      <c r="X178" s="1126"/>
      <c r="Y178" s="1126"/>
      <c r="Z178" s="1126"/>
      <c r="AA178" s="1126"/>
    </row>
    <row r="179" ht="15.75" customHeight="1">
      <c r="A179" s="1126"/>
      <c r="B179" s="1126"/>
      <c r="C179" s="1126"/>
      <c r="D179" s="1126"/>
      <c r="E179" s="1126"/>
      <c r="F179" s="1126"/>
      <c r="G179" s="1126"/>
      <c r="H179" s="1126"/>
      <c r="I179" s="1126"/>
      <c r="J179" s="1126"/>
      <c r="K179" s="1126"/>
      <c r="L179" s="1126"/>
      <c r="M179" s="1126"/>
      <c r="N179" s="1126"/>
      <c r="O179" s="1126"/>
      <c r="P179" s="1126"/>
      <c r="Q179" s="1126"/>
      <c r="R179" s="1126"/>
      <c r="S179" s="1126"/>
      <c r="T179" s="1126"/>
      <c r="U179" s="1126"/>
      <c r="V179" s="1126"/>
      <c r="W179" s="1126"/>
      <c r="X179" s="1126"/>
      <c r="Y179" s="1126"/>
      <c r="Z179" s="1126"/>
      <c r="AA179" s="1126"/>
    </row>
    <row r="180" ht="15.75" customHeight="1">
      <c r="A180" s="1126"/>
      <c r="B180" s="1126"/>
      <c r="C180" s="1126"/>
      <c r="D180" s="1126"/>
      <c r="E180" s="1126"/>
      <c r="F180" s="1126"/>
      <c r="G180" s="1126"/>
      <c r="H180" s="1126"/>
      <c r="I180" s="1126"/>
      <c r="J180" s="1126"/>
      <c r="K180" s="1126"/>
      <c r="L180" s="1126"/>
      <c r="M180" s="1126"/>
      <c r="N180" s="1126"/>
      <c r="O180" s="1126"/>
      <c r="P180" s="1126"/>
      <c r="Q180" s="1126"/>
      <c r="R180" s="1126"/>
      <c r="S180" s="1126"/>
      <c r="T180" s="1126"/>
      <c r="U180" s="1126"/>
      <c r="V180" s="1126"/>
      <c r="W180" s="1126"/>
      <c r="X180" s="1126"/>
      <c r="Y180" s="1126"/>
      <c r="Z180" s="1126"/>
      <c r="AA180" s="1126"/>
    </row>
    <row r="181" ht="15.75" customHeight="1">
      <c r="A181" s="1126"/>
      <c r="B181" s="1126"/>
      <c r="C181" s="1126"/>
      <c r="D181" s="1126"/>
      <c r="E181" s="1126"/>
      <c r="F181" s="1126"/>
      <c r="G181" s="1126"/>
      <c r="H181" s="1126"/>
      <c r="I181" s="1126"/>
      <c r="J181" s="1126"/>
      <c r="K181" s="1126"/>
      <c r="L181" s="1126"/>
      <c r="M181" s="1126"/>
      <c r="N181" s="1126"/>
      <c r="O181" s="1126"/>
      <c r="P181" s="1126"/>
      <c r="Q181" s="1126"/>
      <c r="R181" s="1126"/>
      <c r="S181" s="1126"/>
      <c r="T181" s="1126"/>
      <c r="U181" s="1126"/>
      <c r="V181" s="1126"/>
      <c r="W181" s="1126"/>
      <c r="X181" s="1126"/>
      <c r="Y181" s="1126"/>
      <c r="Z181" s="1126"/>
      <c r="AA181" s="1126"/>
    </row>
    <row r="182" ht="15.75" customHeight="1">
      <c r="A182" s="1126"/>
      <c r="B182" s="1126"/>
      <c r="C182" s="1126"/>
      <c r="D182" s="1126"/>
      <c r="E182" s="1126"/>
      <c r="F182" s="1126"/>
      <c r="G182" s="1126"/>
      <c r="H182" s="1126"/>
      <c r="I182" s="1126"/>
      <c r="J182" s="1126"/>
      <c r="K182" s="1126"/>
      <c r="L182" s="1126"/>
      <c r="M182" s="1126"/>
      <c r="N182" s="1126"/>
      <c r="O182" s="1126"/>
      <c r="P182" s="1126"/>
      <c r="Q182" s="1126"/>
      <c r="R182" s="1126"/>
      <c r="S182" s="1126"/>
      <c r="T182" s="1126"/>
      <c r="U182" s="1126"/>
      <c r="V182" s="1126"/>
      <c r="W182" s="1126"/>
      <c r="X182" s="1126"/>
      <c r="Y182" s="1126"/>
      <c r="Z182" s="1126"/>
      <c r="AA182" s="1126"/>
    </row>
    <row r="183" ht="15.75" customHeight="1">
      <c r="A183" s="1126"/>
      <c r="B183" s="1126"/>
      <c r="C183" s="1126"/>
      <c r="D183" s="1126"/>
      <c r="E183" s="1126"/>
      <c r="F183" s="1126"/>
      <c r="G183" s="1126"/>
      <c r="H183" s="1126"/>
      <c r="I183" s="1126"/>
      <c r="J183" s="1126"/>
      <c r="K183" s="1126"/>
      <c r="L183" s="1126"/>
      <c r="M183" s="1126"/>
      <c r="N183" s="1126"/>
      <c r="O183" s="1126"/>
      <c r="P183" s="1126"/>
      <c r="Q183" s="1126"/>
      <c r="R183" s="1126"/>
      <c r="S183" s="1126"/>
      <c r="T183" s="1126"/>
      <c r="U183" s="1126"/>
      <c r="V183" s="1126"/>
      <c r="W183" s="1126"/>
      <c r="X183" s="1126"/>
      <c r="Y183" s="1126"/>
      <c r="Z183" s="1126"/>
      <c r="AA183" s="1126"/>
    </row>
    <row r="184" ht="15.75" customHeight="1">
      <c r="A184" s="1126"/>
      <c r="B184" s="1126"/>
      <c r="C184" s="1126"/>
      <c r="D184" s="1126"/>
      <c r="E184" s="1126"/>
      <c r="F184" s="1126"/>
      <c r="G184" s="1126"/>
      <c r="H184" s="1126"/>
      <c r="I184" s="1126"/>
      <c r="J184" s="1126"/>
      <c r="K184" s="1126"/>
      <c r="L184" s="1126"/>
      <c r="M184" s="1126"/>
      <c r="N184" s="1126"/>
      <c r="O184" s="1126"/>
      <c r="P184" s="1126"/>
      <c r="Q184" s="1126"/>
      <c r="R184" s="1126"/>
      <c r="S184" s="1126"/>
      <c r="T184" s="1126"/>
      <c r="U184" s="1126"/>
      <c r="V184" s="1126"/>
      <c r="W184" s="1126"/>
      <c r="X184" s="1126"/>
      <c r="Y184" s="1126"/>
      <c r="Z184" s="1126"/>
      <c r="AA184" s="1126"/>
    </row>
    <row r="185" ht="15.75" customHeight="1">
      <c r="A185" s="1126"/>
      <c r="B185" s="1126"/>
      <c r="C185" s="1126"/>
      <c r="D185" s="1126"/>
      <c r="E185" s="1126"/>
      <c r="F185" s="1126"/>
      <c r="G185" s="1126"/>
      <c r="H185" s="1126"/>
      <c r="I185" s="1126"/>
      <c r="J185" s="1126"/>
      <c r="K185" s="1126"/>
      <c r="L185" s="1126"/>
      <c r="M185" s="1126"/>
      <c r="N185" s="1126"/>
      <c r="O185" s="1126"/>
      <c r="P185" s="1126"/>
      <c r="Q185" s="1126"/>
      <c r="R185" s="1126"/>
      <c r="S185" s="1126"/>
      <c r="T185" s="1126"/>
      <c r="U185" s="1126"/>
      <c r="V185" s="1126"/>
      <c r="W185" s="1126"/>
      <c r="X185" s="1126"/>
      <c r="Y185" s="1126"/>
      <c r="Z185" s="1126"/>
      <c r="AA185" s="1126"/>
    </row>
    <row r="186" ht="15.75" customHeight="1">
      <c r="A186" s="1126"/>
      <c r="B186" s="1126"/>
      <c r="C186" s="1126"/>
      <c r="D186" s="1126"/>
      <c r="E186" s="1126"/>
      <c r="F186" s="1126"/>
      <c r="G186" s="1126"/>
      <c r="H186" s="1126"/>
      <c r="I186" s="1126"/>
      <c r="J186" s="1126"/>
      <c r="K186" s="1126"/>
      <c r="L186" s="1126"/>
      <c r="M186" s="1126"/>
      <c r="N186" s="1126"/>
      <c r="O186" s="1126"/>
      <c r="P186" s="1126"/>
      <c r="Q186" s="1126"/>
      <c r="R186" s="1126"/>
      <c r="S186" s="1126"/>
      <c r="T186" s="1126"/>
      <c r="U186" s="1126"/>
      <c r="V186" s="1126"/>
      <c r="W186" s="1126"/>
      <c r="X186" s="1126"/>
      <c r="Y186" s="1126"/>
      <c r="Z186" s="1126"/>
      <c r="AA186" s="1126"/>
    </row>
    <row r="187" ht="15.75" customHeight="1">
      <c r="A187" s="1126"/>
      <c r="B187" s="1126"/>
      <c r="C187" s="1126"/>
      <c r="D187" s="1126"/>
      <c r="E187" s="1126"/>
      <c r="F187" s="1126"/>
      <c r="G187" s="1126"/>
      <c r="H187" s="1126"/>
      <c r="I187" s="1126"/>
      <c r="J187" s="1126"/>
      <c r="K187" s="1126"/>
      <c r="L187" s="1126"/>
      <c r="M187" s="1126"/>
      <c r="N187" s="1126"/>
      <c r="O187" s="1126"/>
      <c r="P187" s="1126"/>
      <c r="Q187" s="1126"/>
      <c r="R187" s="1126"/>
      <c r="S187" s="1126"/>
      <c r="T187" s="1126"/>
      <c r="U187" s="1126"/>
      <c r="V187" s="1126"/>
      <c r="W187" s="1126"/>
      <c r="X187" s="1126"/>
      <c r="Y187" s="1126"/>
      <c r="Z187" s="1126"/>
      <c r="AA187" s="1126"/>
    </row>
    <row r="188" ht="15.75" customHeight="1">
      <c r="A188" s="1126"/>
      <c r="B188" s="1126"/>
      <c r="C188" s="1126"/>
      <c r="D188" s="1126"/>
      <c r="E188" s="1126"/>
      <c r="F188" s="1126"/>
      <c r="G188" s="1126"/>
      <c r="H188" s="1126"/>
      <c r="I188" s="1126"/>
      <c r="J188" s="1126"/>
      <c r="K188" s="1126"/>
      <c r="L188" s="1126"/>
      <c r="M188" s="1126"/>
      <c r="N188" s="1126"/>
      <c r="O188" s="1126"/>
      <c r="P188" s="1126"/>
      <c r="Q188" s="1126"/>
      <c r="R188" s="1126"/>
      <c r="S188" s="1126"/>
      <c r="T188" s="1126"/>
      <c r="U188" s="1126"/>
      <c r="V188" s="1126"/>
      <c r="W188" s="1126"/>
      <c r="X188" s="1126"/>
      <c r="Y188" s="1126"/>
      <c r="Z188" s="1126"/>
      <c r="AA188" s="1126"/>
    </row>
    <row r="189" ht="15.75" customHeight="1">
      <c r="A189" s="1126"/>
      <c r="B189" s="1126"/>
      <c r="C189" s="1126"/>
      <c r="D189" s="1126"/>
      <c r="E189" s="1126"/>
      <c r="F189" s="1126"/>
      <c r="G189" s="1126"/>
      <c r="H189" s="1126"/>
      <c r="I189" s="1126"/>
      <c r="J189" s="1126"/>
      <c r="K189" s="1126"/>
      <c r="L189" s="1126"/>
      <c r="M189" s="1126"/>
      <c r="N189" s="1126"/>
      <c r="O189" s="1126"/>
      <c r="P189" s="1126"/>
      <c r="Q189" s="1126"/>
      <c r="R189" s="1126"/>
      <c r="S189" s="1126"/>
      <c r="T189" s="1126"/>
      <c r="U189" s="1126"/>
      <c r="V189" s="1126"/>
      <c r="W189" s="1126"/>
      <c r="X189" s="1126"/>
      <c r="Y189" s="1126"/>
      <c r="Z189" s="1126"/>
      <c r="AA189" s="1126"/>
    </row>
    <row r="190" ht="15.75" customHeight="1">
      <c r="A190" s="1126"/>
      <c r="B190" s="1126"/>
      <c r="C190" s="1126"/>
      <c r="D190" s="1126"/>
      <c r="E190" s="1126"/>
      <c r="F190" s="1126"/>
      <c r="G190" s="1126"/>
      <c r="H190" s="1126"/>
      <c r="I190" s="1126"/>
      <c r="J190" s="1126"/>
      <c r="K190" s="1126"/>
      <c r="L190" s="1126"/>
      <c r="M190" s="1126"/>
      <c r="N190" s="1126"/>
      <c r="O190" s="1126"/>
      <c r="P190" s="1126"/>
      <c r="Q190" s="1126"/>
      <c r="R190" s="1126"/>
      <c r="S190" s="1126"/>
      <c r="T190" s="1126"/>
      <c r="U190" s="1126"/>
      <c r="V190" s="1126"/>
      <c r="W190" s="1126"/>
      <c r="X190" s="1126"/>
      <c r="Y190" s="1126"/>
      <c r="Z190" s="1126"/>
      <c r="AA190" s="1126"/>
    </row>
    <row r="191" ht="15.75" customHeight="1">
      <c r="A191" s="1126"/>
      <c r="B191" s="1126"/>
      <c r="C191" s="1126"/>
      <c r="D191" s="1126"/>
      <c r="E191" s="1126"/>
      <c r="F191" s="1126"/>
      <c r="G191" s="1126"/>
      <c r="H191" s="1126"/>
      <c r="I191" s="1126"/>
      <c r="J191" s="1126"/>
      <c r="K191" s="1126"/>
      <c r="L191" s="1126"/>
      <c r="M191" s="1126"/>
      <c r="N191" s="1126"/>
      <c r="O191" s="1126"/>
      <c r="P191" s="1126"/>
      <c r="Q191" s="1126"/>
      <c r="R191" s="1126"/>
      <c r="S191" s="1126"/>
      <c r="T191" s="1126"/>
      <c r="U191" s="1126"/>
      <c r="V191" s="1126"/>
      <c r="W191" s="1126"/>
      <c r="X191" s="1126"/>
      <c r="Y191" s="1126"/>
      <c r="Z191" s="1126"/>
      <c r="AA191" s="1126"/>
    </row>
    <row r="192" ht="15.75" customHeight="1">
      <c r="A192" s="1126"/>
      <c r="B192" s="1126"/>
      <c r="C192" s="1126"/>
      <c r="D192" s="1126"/>
      <c r="E192" s="1126"/>
      <c r="F192" s="1126"/>
      <c r="G192" s="1126"/>
      <c r="H192" s="1126"/>
      <c r="I192" s="1126"/>
      <c r="J192" s="1126"/>
      <c r="K192" s="1126"/>
      <c r="L192" s="1126"/>
      <c r="M192" s="1126"/>
      <c r="N192" s="1126"/>
      <c r="O192" s="1126"/>
      <c r="P192" s="1126"/>
      <c r="Q192" s="1126"/>
      <c r="R192" s="1126"/>
      <c r="S192" s="1126"/>
      <c r="T192" s="1126"/>
      <c r="U192" s="1126"/>
      <c r="V192" s="1126"/>
      <c r="W192" s="1126"/>
      <c r="X192" s="1126"/>
      <c r="Y192" s="1126"/>
      <c r="Z192" s="1126"/>
      <c r="AA192" s="1126"/>
    </row>
    <row r="193" ht="15.75" customHeight="1">
      <c r="A193" s="1126"/>
      <c r="B193" s="1126"/>
      <c r="C193" s="1126"/>
      <c r="D193" s="1126"/>
      <c r="E193" s="1126"/>
      <c r="F193" s="1126"/>
      <c r="G193" s="1126"/>
      <c r="H193" s="1126"/>
      <c r="I193" s="1126"/>
      <c r="J193" s="1126"/>
      <c r="K193" s="1126"/>
      <c r="L193" s="1126"/>
      <c r="M193" s="1126"/>
      <c r="N193" s="1126"/>
      <c r="O193" s="1126"/>
      <c r="P193" s="1126"/>
      <c r="Q193" s="1126"/>
      <c r="R193" s="1126"/>
      <c r="S193" s="1126"/>
      <c r="T193" s="1126"/>
      <c r="U193" s="1126"/>
      <c r="V193" s="1126"/>
      <c r="W193" s="1126"/>
      <c r="X193" s="1126"/>
      <c r="Y193" s="1126"/>
      <c r="Z193" s="1126"/>
      <c r="AA193" s="1126"/>
    </row>
    <row r="194" ht="15.75" customHeight="1">
      <c r="A194" s="1126"/>
      <c r="B194" s="1126"/>
      <c r="C194" s="1126"/>
      <c r="D194" s="1126"/>
      <c r="E194" s="1126"/>
      <c r="F194" s="1126"/>
      <c r="G194" s="1126"/>
      <c r="H194" s="1126"/>
      <c r="I194" s="1126"/>
      <c r="J194" s="1126"/>
      <c r="K194" s="1126"/>
      <c r="L194" s="1126"/>
      <c r="M194" s="1126"/>
      <c r="N194" s="1126"/>
      <c r="O194" s="1126"/>
      <c r="P194" s="1126"/>
      <c r="Q194" s="1126"/>
      <c r="R194" s="1126"/>
      <c r="S194" s="1126"/>
      <c r="T194" s="1126"/>
      <c r="U194" s="1126"/>
      <c r="V194" s="1126"/>
      <c r="W194" s="1126"/>
      <c r="X194" s="1126"/>
      <c r="Y194" s="1126"/>
      <c r="Z194" s="1126"/>
      <c r="AA194" s="1126"/>
    </row>
    <row r="195" ht="15.75" customHeight="1">
      <c r="A195" s="1126"/>
      <c r="B195" s="1126"/>
      <c r="C195" s="1126"/>
      <c r="D195" s="1126"/>
      <c r="E195" s="1126"/>
      <c r="F195" s="1126"/>
      <c r="G195" s="1126"/>
      <c r="H195" s="1126"/>
      <c r="I195" s="1126"/>
      <c r="J195" s="1126"/>
      <c r="K195" s="1126"/>
      <c r="L195" s="1126"/>
      <c r="M195" s="1126"/>
      <c r="N195" s="1126"/>
      <c r="O195" s="1126"/>
      <c r="P195" s="1126"/>
      <c r="Q195" s="1126"/>
      <c r="R195" s="1126"/>
      <c r="S195" s="1126"/>
      <c r="T195" s="1126"/>
      <c r="U195" s="1126"/>
      <c r="V195" s="1126"/>
      <c r="W195" s="1126"/>
      <c r="X195" s="1126"/>
      <c r="Y195" s="1126"/>
      <c r="Z195" s="1126"/>
      <c r="AA195" s="1126"/>
    </row>
    <row r="196" ht="15.75" customHeight="1">
      <c r="A196" s="1126"/>
      <c r="B196" s="1126"/>
      <c r="C196" s="1126"/>
      <c r="D196" s="1126"/>
      <c r="E196" s="1126"/>
      <c r="F196" s="1126"/>
      <c r="G196" s="1126"/>
      <c r="H196" s="1126"/>
      <c r="I196" s="1126"/>
      <c r="J196" s="1126"/>
      <c r="K196" s="1126"/>
      <c r="L196" s="1126"/>
      <c r="M196" s="1126"/>
      <c r="N196" s="1126"/>
      <c r="O196" s="1126"/>
      <c r="P196" s="1126"/>
      <c r="Q196" s="1126"/>
      <c r="R196" s="1126"/>
      <c r="S196" s="1126"/>
      <c r="T196" s="1126"/>
      <c r="U196" s="1126"/>
      <c r="V196" s="1126"/>
      <c r="W196" s="1126"/>
      <c r="X196" s="1126"/>
      <c r="Y196" s="1126"/>
      <c r="Z196" s="1126"/>
      <c r="AA196" s="1126"/>
    </row>
    <row r="197" ht="15.75" customHeight="1">
      <c r="A197" s="1126"/>
      <c r="B197" s="1126"/>
      <c r="C197" s="1126"/>
      <c r="D197" s="1126"/>
      <c r="E197" s="1126"/>
      <c r="F197" s="1126"/>
      <c r="G197" s="1126"/>
      <c r="H197" s="1126"/>
      <c r="I197" s="1126"/>
      <c r="J197" s="1126"/>
      <c r="K197" s="1126"/>
      <c r="L197" s="1126"/>
      <c r="M197" s="1126"/>
      <c r="N197" s="1126"/>
      <c r="O197" s="1126"/>
      <c r="P197" s="1126"/>
      <c r="Q197" s="1126"/>
      <c r="R197" s="1126"/>
      <c r="S197" s="1126"/>
      <c r="T197" s="1126"/>
      <c r="U197" s="1126"/>
      <c r="V197" s="1126"/>
      <c r="W197" s="1126"/>
      <c r="X197" s="1126"/>
      <c r="Y197" s="1126"/>
      <c r="Z197" s="1126"/>
      <c r="AA197" s="1126"/>
    </row>
    <row r="198" ht="15.75" customHeight="1">
      <c r="A198" s="1126"/>
      <c r="B198" s="1126"/>
      <c r="C198" s="1126"/>
      <c r="D198" s="1126"/>
      <c r="E198" s="1126"/>
      <c r="F198" s="1126"/>
      <c r="G198" s="1126"/>
      <c r="H198" s="1126"/>
      <c r="I198" s="1126"/>
      <c r="J198" s="1126"/>
      <c r="K198" s="1126"/>
      <c r="L198" s="1126"/>
      <c r="M198" s="1126"/>
      <c r="N198" s="1126"/>
      <c r="O198" s="1126"/>
      <c r="P198" s="1126"/>
      <c r="Q198" s="1126"/>
      <c r="R198" s="1126"/>
      <c r="S198" s="1126"/>
      <c r="T198" s="1126"/>
      <c r="U198" s="1126"/>
      <c r="V198" s="1126"/>
      <c r="W198" s="1126"/>
      <c r="X198" s="1126"/>
      <c r="Y198" s="1126"/>
      <c r="Z198" s="1126"/>
      <c r="AA198" s="1126"/>
    </row>
    <row r="199" ht="15.75" customHeight="1">
      <c r="A199" s="1126"/>
      <c r="B199" s="1126"/>
      <c r="C199" s="1126"/>
      <c r="D199" s="1126"/>
      <c r="E199" s="1126"/>
      <c r="F199" s="1126"/>
      <c r="G199" s="1126"/>
      <c r="H199" s="1126"/>
      <c r="I199" s="1126"/>
      <c r="J199" s="1126"/>
      <c r="K199" s="1126"/>
      <c r="L199" s="1126"/>
      <c r="M199" s="1126"/>
      <c r="N199" s="1126"/>
      <c r="O199" s="1126"/>
      <c r="P199" s="1126"/>
      <c r="Q199" s="1126"/>
      <c r="R199" s="1126"/>
      <c r="S199" s="1126"/>
      <c r="T199" s="1126"/>
      <c r="U199" s="1126"/>
      <c r="V199" s="1126"/>
      <c r="W199" s="1126"/>
      <c r="X199" s="1126"/>
      <c r="Y199" s="1126"/>
      <c r="Z199" s="1126"/>
      <c r="AA199" s="1126"/>
    </row>
    <row r="200" ht="15.75" customHeight="1">
      <c r="A200" s="1126"/>
      <c r="B200" s="1126"/>
      <c r="C200" s="1126"/>
      <c r="D200" s="1126"/>
      <c r="E200" s="1126"/>
      <c r="F200" s="1126"/>
      <c r="G200" s="1126"/>
      <c r="H200" s="1126"/>
      <c r="I200" s="1126"/>
      <c r="J200" s="1126"/>
      <c r="K200" s="1126"/>
      <c r="L200" s="1126"/>
      <c r="M200" s="1126"/>
      <c r="N200" s="1126"/>
      <c r="O200" s="1126"/>
      <c r="P200" s="1126"/>
      <c r="Q200" s="1126"/>
      <c r="R200" s="1126"/>
      <c r="S200" s="1126"/>
      <c r="T200" s="1126"/>
      <c r="U200" s="1126"/>
      <c r="V200" s="1126"/>
      <c r="W200" s="1126"/>
      <c r="X200" s="1126"/>
      <c r="Y200" s="1126"/>
      <c r="Z200" s="1126"/>
      <c r="AA200" s="1126"/>
    </row>
    <row r="201" ht="15.75" customHeight="1">
      <c r="A201" s="1126"/>
      <c r="B201" s="1126"/>
      <c r="C201" s="1126"/>
      <c r="D201" s="1126"/>
      <c r="E201" s="1126"/>
      <c r="F201" s="1126"/>
      <c r="G201" s="1126"/>
      <c r="H201" s="1126"/>
      <c r="I201" s="1126"/>
      <c r="J201" s="1126"/>
      <c r="K201" s="1126"/>
      <c r="L201" s="1126"/>
      <c r="M201" s="1126"/>
      <c r="N201" s="1126"/>
      <c r="O201" s="1126"/>
      <c r="P201" s="1126"/>
      <c r="Q201" s="1126"/>
      <c r="R201" s="1126"/>
      <c r="S201" s="1126"/>
      <c r="T201" s="1126"/>
      <c r="U201" s="1126"/>
      <c r="V201" s="1126"/>
      <c r="W201" s="1126"/>
      <c r="X201" s="1126"/>
      <c r="Y201" s="1126"/>
      <c r="Z201" s="1126"/>
      <c r="AA201" s="1126"/>
    </row>
    <row r="202" ht="15.75" customHeight="1">
      <c r="A202" s="1126"/>
      <c r="B202" s="1126"/>
      <c r="C202" s="1126"/>
      <c r="D202" s="1126"/>
      <c r="E202" s="1126"/>
      <c r="F202" s="1126"/>
      <c r="G202" s="1126"/>
      <c r="H202" s="1126"/>
      <c r="I202" s="1126"/>
      <c r="J202" s="1126"/>
      <c r="K202" s="1126"/>
      <c r="L202" s="1126"/>
      <c r="M202" s="1126"/>
      <c r="N202" s="1126"/>
      <c r="O202" s="1126"/>
      <c r="P202" s="1126"/>
      <c r="Q202" s="1126"/>
      <c r="R202" s="1126"/>
      <c r="S202" s="1126"/>
      <c r="T202" s="1126"/>
      <c r="U202" s="1126"/>
      <c r="V202" s="1126"/>
      <c r="W202" s="1126"/>
      <c r="X202" s="1126"/>
      <c r="Y202" s="1126"/>
      <c r="Z202" s="1126"/>
      <c r="AA202" s="1126"/>
    </row>
    <row r="203" ht="15.75" customHeight="1">
      <c r="A203" s="1126"/>
      <c r="B203" s="1126"/>
      <c r="C203" s="1126"/>
      <c r="D203" s="1126"/>
      <c r="E203" s="1126"/>
      <c r="F203" s="1126"/>
      <c r="G203" s="1126"/>
      <c r="H203" s="1126"/>
      <c r="I203" s="1126"/>
      <c r="J203" s="1126"/>
      <c r="K203" s="1126"/>
      <c r="L203" s="1126"/>
      <c r="M203" s="1126"/>
      <c r="N203" s="1126"/>
      <c r="O203" s="1126"/>
      <c r="P203" s="1126"/>
      <c r="Q203" s="1126"/>
      <c r="R203" s="1126"/>
      <c r="S203" s="1126"/>
      <c r="T203" s="1126"/>
      <c r="U203" s="1126"/>
      <c r="V203" s="1126"/>
      <c r="W203" s="1126"/>
      <c r="X203" s="1126"/>
      <c r="Y203" s="1126"/>
      <c r="Z203" s="1126"/>
      <c r="AA203" s="1126"/>
    </row>
    <row r="204" ht="15.75" customHeight="1">
      <c r="A204" s="1126"/>
      <c r="B204" s="1126"/>
      <c r="C204" s="1126"/>
      <c r="D204" s="1126"/>
      <c r="E204" s="1126"/>
      <c r="F204" s="1126"/>
      <c r="G204" s="1126"/>
      <c r="H204" s="1126"/>
      <c r="I204" s="1126"/>
      <c r="J204" s="1126"/>
      <c r="K204" s="1126"/>
      <c r="L204" s="1126"/>
      <c r="M204" s="1126"/>
      <c r="N204" s="1126"/>
      <c r="O204" s="1126"/>
      <c r="P204" s="1126"/>
      <c r="Q204" s="1126"/>
      <c r="R204" s="1126"/>
      <c r="S204" s="1126"/>
      <c r="T204" s="1126"/>
      <c r="U204" s="1126"/>
      <c r="V204" s="1126"/>
      <c r="W204" s="1126"/>
      <c r="X204" s="1126"/>
      <c r="Y204" s="1126"/>
      <c r="Z204" s="1126"/>
      <c r="AA204" s="1126"/>
    </row>
    <row r="205" ht="15.75" customHeight="1">
      <c r="A205" s="1126"/>
      <c r="B205" s="1126"/>
      <c r="C205" s="1126"/>
      <c r="D205" s="1126"/>
      <c r="E205" s="1126"/>
      <c r="F205" s="1126"/>
      <c r="G205" s="1126"/>
      <c r="H205" s="1126"/>
      <c r="I205" s="1126"/>
      <c r="J205" s="1126"/>
      <c r="K205" s="1126"/>
      <c r="L205" s="1126"/>
      <c r="M205" s="1126"/>
      <c r="N205" s="1126"/>
      <c r="O205" s="1126"/>
      <c r="P205" s="1126"/>
      <c r="Q205" s="1126"/>
      <c r="R205" s="1126"/>
      <c r="S205" s="1126"/>
      <c r="T205" s="1126"/>
      <c r="U205" s="1126"/>
      <c r="V205" s="1126"/>
      <c r="W205" s="1126"/>
      <c r="X205" s="1126"/>
      <c r="Y205" s="1126"/>
      <c r="Z205" s="1126"/>
      <c r="AA205" s="1126"/>
    </row>
    <row r="206" ht="15.75" customHeight="1">
      <c r="A206" s="1126"/>
      <c r="B206" s="1126"/>
      <c r="C206" s="1126"/>
      <c r="D206" s="1126"/>
      <c r="E206" s="1126"/>
      <c r="F206" s="1126"/>
      <c r="G206" s="1126"/>
      <c r="H206" s="1126"/>
      <c r="I206" s="1126"/>
      <c r="J206" s="1126"/>
      <c r="K206" s="1126"/>
      <c r="L206" s="1126"/>
      <c r="M206" s="1126"/>
      <c r="N206" s="1126"/>
      <c r="O206" s="1126"/>
      <c r="P206" s="1126"/>
      <c r="Q206" s="1126"/>
      <c r="R206" s="1126"/>
      <c r="S206" s="1126"/>
      <c r="T206" s="1126"/>
      <c r="U206" s="1126"/>
      <c r="V206" s="1126"/>
      <c r="W206" s="1126"/>
      <c r="X206" s="1126"/>
      <c r="Y206" s="1126"/>
      <c r="Z206" s="1126"/>
      <c r="AA206" s="1126"/>
    </row>
    <row r="207" ht="15.75" customHeight="1">
      <c r="A207" s="1126"/>
      <c r="B207" s="1126"/>
      <c r="C207" s="1126"/>
      <c r="D207" s="1126"/>
      <c r="E207" s="1126"/>
      <c r="F207" s="1126"/>
      <c r="G207" s="1126"/>
      <c r="H207" s="1126"/>
      <c r="I207" s="1126"/>
      <c r="J207" s="1126"/>
      <c r="K207" s="1126"/>
      <c r="L207" s="1126"/>
      <c r="M207" s="1126"/>
      <c r="N207" s="1126"/>
      <c r="O207" s="1126"/>
      <c r="P207" s="1126"/>
      <c r="Q207" s="1126"/>
      <c r="R207" s="1126"/>
      <c r="S207" s="1126"/>
      <c r="T207" s="1126"/>
      <c r="U207" s="1126"/>
      <c r="V207" s="1126"/>
      <c r="W207" s="1126"/>
      <c r="X207" s="1126"/>
      <c r="Y207" s="1126"/>
      <c r="Z207" s="1126"/>
      <c r="AA207" s="1126"/>
    </row>
    <row r="208" ht="15.75" customHeight="1">
      <c r="A208" s="1126"/>
      <c r="B208" s="1126"/>
      <c r="C208" s="1126"/>
      <c r="D208" s="1126"/>
      <c r="E208" s="1126"/>
      <c r="F208" s="1126"/>
      <c r="G208" s="1126"/>
      <c r="H208" s="1126"/>
      <c r="I208" s="1126"/>
      <c r="J208" s="1126"/>
      <c r="K208" s="1126"/>
      <c r="L208" s="1126"/>
      <c r="M208" s="1126"/>
      <c r="N208" s="1126"/>
      <c r="O208" s="1126"/>
      <c r="P208" s="1126"/>
      <c r="Q208" s="1126"/>
      <c r="R208" s="1126"/>
      <c r="S208" s="1126"/>
      <c r="T208" s="1126"/>
      <c r="U208" s="1126"/>
      <c r="V208" s="1126"/>
      <c r="W208" s="1126"/>
      <c r="X208" s="1126"/>
      <c r="Y208" s="1126"/>
      <c r="Z208" s="1126"/>
      <c r="AA208" s="1126"/>
    </row>
    <row r="209" ht="15.75" customHeight="1">
      <c r="A209" s="1126"/>
      <c r="B209" s="1126"/>
      <c r="C209" s="1126"/>
      <c r="D209" s="1126"/>
      <c r="E209" s="1126"/>
      <c r="F209" s="1126"/>
      <c r="G209" s="1126"/>
      <c r="H209" s="1126"/>
      <c r="I209" s="1126"/>
      <c r="J209" s="1126"/>
      <c r="K209" s="1126"/>
      <c r="L209" s="1126"/>
      <c r="M209" s="1126"/>
      <c r="N209" s="1126"/>
      <c r="O209" s="1126"/>
      <c r="P209" s="1126"/>
      <c r="Q209" s="1126"/>
      <c r="R209" s="1126"/>
      <c r="S209" s="1126"/>
      <c r="T209" s="1126"/>
      <c r="U209" s="1126"/>
      <c r="V209" s="1126"/>
      <c r="W209" s="1126"/>
      <c r="X209" s="1126"/>
      <c r="Y209" s="1126"/>
      <c r="Z209" s="1126"/>
      <c r="AA209" s="1126"/>
    </row>
    <row r="210" ht="15.75" customHeight="1">
      <c r="A210" s="1126"/>
      <c r="B210" s="1126"/>
      <c r="C210" s="1126"/>
      <c r="D210" s="1126"/>
      <c r="E210" s="1126"/>
      <c r="F210" s="1126"/>
      <c r="G210" s="1126"/>
      <c r="H210" s="1126"/>
      <c r="I210" s="1126"/>
      <c r="J210" s="1126"/>
      <c r="K210" s="1126"/>
      <c r="L210" s="1126"/>
      <c r="M210" s="1126"/>
      <c r="N210" s="1126"/>
      <c r="O210" s="1126"/>
      <c r="P210" s="1126"/>
      <c r="Q210" s="1126"/>
      <c r="R210" s="1126"/>
      <c r="S210" s="1126"/>
      <c r="T210" s="1126"/>
      <c r="U210" s="1126"/>
      <c r="V210" s="1126"/>
      <c r="W210" s="1126"/>
      <c r="X210" s="1126"/>
      <c r="Y210" s="1126"/>
      <c r="Z210" s="1126"/>
      <c r="AA210" s="1126"/>
    </row>
    <row r="211" ht="15.75" customHeight="1">
      <c r="A211" s="1126"/>
      <c r="B211" s="1126"/>
      <c r="C211" s="1126"/>
      <c r="D211" s="1126"/>
      <c r="E211" s="1126"/>
      <c r="F211" s="1126"/>
      <c r="G211" s="1126"/>
      <c r="H211" s="1126"/>
      <c r="I211" s="1126"/>
      <c r="J211" s="1126"/>
      <c r="K211" s="1126"/>
      <c r="L211" s="1126"/>
      <c r="M211" s="1126"/>
      <c r="N211" s="1126"/>
      <c r="O211" s="1126"/>
      <c r="P211" s="1126"/>
      <c r="Q211" s="1126"/>
      <c r="R211" s="1126"/>
      <c r="S211" s="1126"/>
      <c r="T211" s="1126"/>
      <c r="U211" s="1126"/>
      <c r="V211" s="1126"/>
      <c r="W211" s="1126"/>
      <c r="X211" s="1126"/>
      <c r="Y211" s="1126"/>
      <c r="Z211" s="1126"/>
      <c r="AA211" s="1126"/>
    </row>
    <row r="212" ht="15.75" customHeight="1">
      <c r="A212" s="1126"/>
      <c r="B212" s="1126"/>
      <c r="C212" s="1126"/>
      <c r="D212" s="1126"/>
      <c r="E212" s="1126"/>
      <c r="F212" s="1126"/>
      <c r="G212" s="1126"/>
      <c r="H212" s="1126"/>
      <c r="I212" s="1126"/>
      <c r="J212" s="1126"/>
      <c r="K212" s="1126"/>
      <c r="L212" s="1126"/>
      <c r="M212" s="1126"/>
      <c r="N212" s="1126"/>
      <c r="O212" s="1126"/>
      <c r="P212" s="1126"/>
      <c r="Q212" s="1126"/>
      <c r="R212" s="1126"/>
      <c r="S212" s="1126"/>
      <c r="T212" s="1126"/>
      <c r="U212" s="1126"/>
      <c r="V212" s="1126"/>
      <c r="W212" s="1126"/>
      <c r="X212" s="1126"/>
      <c r="Y212" s="1126"/>
      <c r="Z212" s="1126"/>
      <c r="AA212" s="1126"/>
    </row>
    <row r="213" ht="15.75" customHeight="1">
      <c r="A213" s="1126"/>
      <c r="B213" s="1126"/>
      <c r="C213" s="1126"/>
      <c r="D213" s="1126"/>
      <c r="E213" s="1126"/>
      <c r="F213" s="1126"/>
      <c r="G213" s="1126"/>
      <c r="H213" s="1126"/>
      <c r="I213" s="1126"/>
      <c r="J213" s="1126"/>
      <c r="K213" s="1126"/>
      <c r="L213" s="1126"/>
      <c r="M213" s="1126"/>
      <c r="N213" s="1126"/>
      <c r="O213" s="1126"/>
      <c r="P213" s="1126"/>
      <c r="Q213" s="1126"/>
      <c r="R213" s="1126"/>
      <c r="S213" s="1126"/>
      <c r="T213" s="1126"/>
      <c r="U213" s="1126"/>
      <c r="V213" s="1126"/>
      <c r="W213" s="1126"/>
      <c r="X213" s="1126"/>
      <c r="Y213" s="1126"/>
      <c r="Z213" s="1126"/>
      <c r="AA213" s="1126"/>
    </row>
    <row r="214" ht="15.75" customHeight="1">
      <c r="A214" s="1126"/>
      <c r="B214" s="1126"/>
      <c r="C214" s="1126"/>
      <c r="D214" s="1126"/>
      <c r="E214" s="1126"/>
      <c r="F214" s="1126"/>
      <c r="G214" s="1126"/>
      <c r="H214" s="1126"/>
      <c r="I214" s="1126"/>
      <c r="J214" s="1126"/>
      <c r="K214" s="1126"/>
      <c r="L214" s="1126"/>
      <c r="M214" s="1126"/>
      <c r="N214" s="1126"/>
      <c r="O214" s="1126"/>
      <c r="P214" s="1126"/>
      <c r="Q214" s="1126"/>
      <c r="R214" s="1126"/>
      <c r="S214" s="1126"/>
      <c r="T214" s="1126"/>
      <c r="U214" s="1126"/>
      <c r="V214" s="1126"/>
      <c r="W214" s="1126"/>
      <c r="X214" s="1126"/>
      <c r="Y214" s="1126"/>
      <c r="Z214" s="1126"/>
      <c r="AA214" s="1126"/>
    </row>
    <row r="215" ht="15.75" customHeight="1">
      <c r="A215" s="1126"/>
      <c r="B215" s="1126"/>
      <c r="C215" s="1126"/>
      <c r="D215" s="1126"/>
      <c r="E215" s="1126"/>
      <c r="F215" s="1126"/>
      <c r="G215" s="1126"/>
      <c r="H215" s="1126"/>
      <c r="I215" s="1126"/>
      <c r="J215" s="1126"/>
      <c r="K215" s="1126"/>
      <c r="L215" s="1126"/>
      <c r="M215" s="1126"/>
      <c r="N215" s="1126"/>
      <c r="O215" s="1126"/>
      <c r="P215" s="1126"/>
      <c r="Q215" s="1126"/>
      <c r="R215" s="1126"/>
      <c r="S215" s="1126"/>
      <c r="T215" s="1126"/>
      <c r="U215" s="1126"/>
      <c r="V215" s="1126"/>
      <c r="W215" s="1126"/>
      <c r="X215" s="1126"/>
      <c r="Y215" s="1126"/>
      <c r="Z215" s="1126"/>
      <c r="AA215" s="1126"/>
    </row>
    <row r="216" ht="15.75" customHeight="1">
      <c r="A216" s="1126"/>
      <c r="B216" s="1126"/>
      <c r="C216" s="1126"/>
      <c r="D216" s="1126"/>
      <c r="E216" s="1126"/>
      <c r="F216" s="1126"/>
      <c r="G216" s="1126"/>
      <c r="H216" s="1126"/>
      <c r="I216" s="1126"/>
      <c r="J216" s="1126"/>
      <c r="K216" s="1126"/>
      <c r="L216" s="1126"/>
      <c r="M216" s="1126"/>
      <c r="N216" s="1126"/>
      <c r="O216" s="1126"/>
      <c r="P216" s="1126"/>
      <c r="Q216" s="1126"/>
      <c r="R216" s="1126"/>
      <c r="S216" s="1126"/>
      <c r="T216" s="1126"/>
      <c r="U216" s="1126"/>
      <c r="V216" s="1126"/>
      <c r="W216" s="1126"/>
      <c r="X216" s="1126"/>
      <c r="Y216" s="1126"/>
      <c r="Z216" s="1126"/>
      <c r="AA216" s="1126"/>
    </row>
    <row r="217" ht="15.75" customHeight="1">
      <c r="A217" s="1126"/>
      <c r="B217" s="1126"/>
      <c r="C217" s="1126"/>
      <c r="D217" s="1126"/>
      <c r="E217" s="1126"/>
      <c r="F217" s="1126"/>
      <c r="G217" s="1126"/>
      <c r="H217" s="1126"/>
      <c r="I217" s="1126"/>
      <c r="J217" s="1126"/>
      <c r="K217" s="1126"/>
      <c r="L217" s="1126"/>
      <c r="M217" s="1126"/>
      <c r="N217" s="1126"/>
      <c r="O217" s="1126"/>
      <c r="P217" s="1126"/>
      <c r="Q217" s="1126"/>
      <c r="R217" s="1126"/>
      <c r="S217" s="1126"/>
      <c r="T217" s="1126"/>
      <c r="U217" s="1126"/>
      <c r="V217" s="1126"/>
      <c r="W217" s="1126"/>
      <c r="X217" s="1126"/>
      <c r="Y217" s="1126"/>
      <c r="Z217" s="1126"/>
      <c r="AA217" s="1126"/>
    </row>
    <row r="218" ht="15.75" customHeight="1">
      <c r="A218" s="1126"/>
      <c r="B218" s="1126"/>
      <c r="C218" s="1126"/>
      <c r="D218" s="1126"/>
      <c r="E218" s="1126"/>
      <c r="F218" s="1126"/>
      <c r="G218" s="1126"/>
      <c r="H218" s="1126"/>
      <c r="I218" s="1126"/>
      <c r="J218" s="1126"/>
      <c r="K218" s="1126"/>
      <c r="L218" s="1126"/>
      <c r="M218" s="1126"/>
      <c r="N218" s="1126"/>
      <c r="O218" s="1126"/>
      <c r="P218" s="1126"/>
      <c r="Q218" s="1126"/>
      <c r="R218" s="1126"/>
      <c r="S218" s="1126"/>
      <c r="T218" s="1126"/>
      <c r="U218" s="1126"/>
      <c r="V218" s="1126"/>
      <c r="W218" s="1126"/>
      <c r="X218" s="1126"/>
      <c r="Y218" s="1126"/>
      <c r="Z218" s="1126"/>
      <c r="AA218" s="1126"/>
    </row>
    <row r="219" ht="15.75" customHeight="1">
      <c r="A219" s="1126"/>
      <c r="B219" s="1126"/>
      <c r="C219" s="1126"/>
      <c r="D219" s="1126"/>
      <c r="E219" s="1126"/>
      <c r="F219" s="1126"/>
      <c r="G219" s="1126"/>
      <c r="H219" s="1126"/>
      <c r="I219" s="1126"/>
      <c r="J219" s="1126"/>
      <c r="K219" s="1126"/>
      <c r="L219" s="1126"/>
      <c r="M219" s="1126"/>
      <c r="N219" s="1126"/>
      <c r="O219" s="1126"/>
      <c r="P219" s="1126"/>
      <c r="Q219" s="1126"/>
      <c r="R219" s="1126"/>
      <c r="S219" s="1126"/>
      <c r="T219" s="1126"/>
      <c r="U219" s="1126"/>
      <c r="V219" s="1126"/>
      <c r="W219" s="1126"/>
      <c r="X219" s="1126"/>
      <c r="Y219" s="1126"/>
      <c r="Z219" s="1126"/>
      <c r="AA219" s="1126"/>
    </row>
    <row r="220" ht="15.75" customHeight="1">
      <c r="A220" s="1126"/>
      <c r="B220" s="1126"/>
      <c r="C220" s="1126"/>
      <c r="D220" s="1126"/>
      <c r="E220" s="1126"/>
      <c r="F220" s="1126"/>
      <c r="G220" s="1126"/>
      <c r="H220" s="1126"/>
      <c r="I220" s="1126"/>
      <c r="J220" s="1126"/>
      <c r="K220" s="1126"/>
      <c r="L220" s="1126"/>
      <c r="M220" s="1126"/>
      <c r="N220" s="1126"/>
      <c r="O220" s="1126"/>
      <c r="P220" s="1126"/>
      <c r="Q220" s="1126"/>
      <c r="R220" s="1126"/>
      <c r="S220" s="1126"/>
      <c r="T220" s="1126"/>
      <c r="U220" s="1126"/>
      <c r="V220" s="1126"/>
      <c r="W220" s="1126"/>
      <c r="X220" s="1126"/>
      <c r="Y220" s="1126"/>
      <c r="Z220" s="1126"/>
      <c r="AA220" s="1126"/>
    </row>
    <row r="221" ht="15.75" customHeight="1">
      <c r="A221" s="1126"/>
      <c r="B221" s="1126"/>
      <c r="C221" s="1126"/>
      <c r="D221" s="1126"/>
      <c r="E221" s="1126"/>
      <c r="F221" s="1126"/>
      <c r="G221" s="1126"/>
      <c r="H221" s="1126"/>
      <c r="I221" s="1126"/>
      <c r="J221" s="1126"/>
      <c r="K221" s="1126"/>
      <c r="L221" s="1126"/>
      <c r="M221" s="1126"/>
      <c r="N221" s="1126"/>
      <c r="O221" s="1126"/>
      <c r="P221" s="1126"/>
      <c r="Q221" s="1126"/>
      <c r="R221" s="1126"/>
      <c r="S221" s="1126"/>
      <c r="T221" s="1126"/>
      <c r="U221" s="1126"/>
      <c r="V221" s="1126"/>
      <c r="W221" s="1126"/>
      <c r="X221" s="1126"/>
      <c r="Y221" s="1126"/>
      <c r="Z221" s="1126"/>
      <c r="AA221" s="1126"/>
    </row>
    <row r="222" ht="15.75" customHeight="1">
      <c r="A222" s="1126"/>
      <c r="B222" s="1126"/>
      <c r="C222" s="1126"/>
      <c r="D222" s="1126"/>
      <c r="E222" s="1126"/>
      <c r="F222" s="1126"/>
      <c r="G222" s="1126"/>
      <c r="H222" s="1126"/>
      <c r="I222" s="1126"/>
      <c r="J222" s="1126"/>
      <c r="K222" s="1126"/>
      <c r="L222" s="1126"/>
      <c r="M222" s="1126"/>
      <c r="N222" s="1126"/>
      <c r="O222" s="1126"/>
      <c r="P222" s="1126"/>
      <c r="Q222" s="1126"/>
      <c r="R222" s="1126"/>
      <c r="S222" s="1126"/>
      <c r="T222" s="1126"/>
      <c r="U222" s="1126"/>
      <c r="V222" s="1126"/>
      <c r="W222" s="1126"/>
      <c r="X222" s="1126"/>
      <c r="Y222" s="1126"/>
      <c r="Z222" s="1126"/>
      <c r="AA222" s="1126"/>
    </row>
    <row r="223" ht="15.75" customHeight="1">
      <c r="A223" s="1126"/>
      <c r="B223" s="1126"/>
      <c r="C223" s="1126"/>
      <c r="D223" s="1126"/>
      <c r="E223" s="1126"/>
      <c r="F223" s="1126"/>
      <c r="G223" s="1126"/>
      <c r="H223" s="1126"/>
      <c r="I223" s="1126"/>
      <c r="J223" s="1126"/>
      <c r="K223" s="1126"/>
      <c r="L223" s="1126"/>
      <c r="M223" s="1126"/>
      <c r="N223" s="1126"/>
      <c r="O223" s="1126"/>
      <c r="P223" s="1126"/>
      <c r="Q223" s="1126"/>
      <c r="R223" s="1126"/>
      <c r="S223" s="1126"/>
      <c r="T223" s="1126"/>
      <c r="U223" s="1126"/>
      <c r="V223" s="1126"/>
      <c r="W223" s="1126"/>
      <c r="X223" s="1126"/>
      <c r="Y223" s="1126"/>
      <c r="Z223" s="1126"/>
      <c r="AA223" s="1126"/>
    </row>
    <row r="224" ht="15.75" customHeight="1">
      <c r="A224" s="1126"/>
      <c r="B224" s="1126"/>
      <c r="C224" s="1126"/>
      <c r="D224" s="1126"/>
      <c r="E224" s="1126"/>
      <c r="F224" s="1126"/>
      <c r="G224" s="1126"/>
      <c r="H224" s="1126"/>
      <c r="I224" s="1126"/>
      <c r="J224" s="1126"/>
      <c r="K224" s="1126"/>
      <c r="L224" s="1126"/>
      <c r="M224" s="1126"/>
      <c r="N224" s="1126"/>
      <c r="O224" s="1126"/>
      <c r="P224" s="1126"/>
      <c r="Q224" s="1126"/>
      <c r="R224" s="1126"/>
      <c r="S224" s="1126"/>
      <c r="T224" s="1126"/>
      <c r="U224" s="1126"/>
      <c r="V224" s="1126"/>
      <c r="W224" s="1126"/>
      <c r="X224" s="1126"/>
      <c r="Y224" s="1126"/>
      <c r="Z224" s="1126"/>
      <c r="AA224" s="1126"/>
    </row>
    <row r="225" ht="15.75" customHeight="1">
      <c r="A225" s="1126"/>
      <c r="B225" s="1126"/>
      <c r="C225" s="1126"/>
      <c r="D225" s="1126"/>
      <c r="E225" s="1126"/>
      <c r="F225" s="1126"/>
      <c r="G225" s="1126"/>
      <c r="H225" s="1126"/>
      <c r="I225" s="1126"/>
      <c r="J225" s="1126"/>
      <c r="K225" s="1126"/>
      <c r="L225" s="1126"/>
      <c r="M225" s="1126"/>
      <c r="N225" s="1126"/>
      <c r="O225" s="1126"/>
      <c r="P225" s="1126"/>
      <c r="Q225" s="1126"/>
      <c r="R225" s="1126"/>
      <c r="S225" s="1126"/>
      <c r="T225" s="1126"/>
      <c r="U225" s="1126"/>
      <c r="V225" s="1126"/>
      <c r="W225" s="1126"/>
      <c r="X225" s="1126"/>
      <c r="Y225" s="1126"/>
      <c r="Z225" s="1126"/>
      <c r="AA225" s="1126"/>
    </row>
    <row r="226" ht="15.75" customHeight="1">
      <c r="A226" s="1126"/>
      <c r="B226" s="1126"/>
      <c r="C226" s="1126"/>
      <c r="D226" s="1126"/>
      <c r="E226" s="1126"/>
      <c r="F226" s="1126"/>
      <c r="G226" s="1126"/>
      <c r="H226" s="1126"/>
      <c r="I226" s="1126"/>
      <c r="J226" s="1126"/>
      <c r="K226" s="1126"/>
      <c r="L226" s="1126"/>
      <c r="M226" s="1126"/>
      <c r="N226" s="1126"/>
      <c r="O226" s="1126"/>
      <c r="P226" s="1126"/>
      <c r="Q226" s="1126"/>
      <c r="R226" s="1126"/>
      <c r="S226" s="1126"/>
      <c r="T226" s="1126"/>
      <c r="U226" s="1126"/>
      <c r="V226" s="1126"/>
      <c r="W226" s="1126"/>
      <c r="X226" s="1126"/>
      <c r="Y226" s="1126"/>
      <c r="Z226" s="1126"/>
      <c r="AA226" s="1126"/>
    </row>
    <row r="227" ht="15.75" customHeight="1">
      <c r="A227" s="1126"/>
      <c r="B227" s="1126"/>
      <c r="C227" s="1126"/>
      <c r="D227" s="1126"/>
      <c r="E227" s="1126"/>
      <c r="F227" s="1126"/>
      <c r="G227" s="1126"/>
      <c r="H227" s="1126"/>
      <c r="I227" s="1126"/>
      <c r="J227" s="1126"/>
      <c r="K227" s="1126"/>
      <c r="L227" s="1126"/>
      <c r="M227" s="1126"/>
      <c r="N227" s="1126"/>
      <c r="O227" s="1126"/>
      <c r="P227" s="1126"/>
      <c r="Q227" s="1126"/>
      <c r="R227" s="1126"/>
      <c r="S227" s="1126"/>
      <c r="T227" s="1126"/>
      <c r="U227" s="1126"/>
      <c r="V227" s="1126"/>
      <c r="W227" s="1126"/>
      <c r="X227" s="1126"/>
      <c r="Y227" s="1126"/>
      <c r="Z227" s="1126"/>
      <c r="AA227" s="1126"/>
    </row>
    <row r="228" ht="15.75" customHeight="1">
      <c r="A228" s="1126"/>
      <c r="B228" s="1126"/>
      <c r="C228" s="1126"/>
      <c r="D228" s="1126"/>
      <c r="E228" s="1126"/>
      <c r="F228" s="1126"/>
      <c r="G228" s="1126"/>
      <c r="H228" s="1126"/>
      <c r="I228" s="1126"/>
      <c r="J228" s="1126"/>
      <c r="K228" s="1126"/>
      <c r="L228" s="1126"/>
      <c r="M228" s="1126"/>
      <c r="N228" s="1126"/>
      <c r="O228" s="1126"/>
      <c r="P228" s="1126"/>
      <c r="Q228" s="1126"/>
      <c r="R228" s="1126"/>
      <c r="S228" s="1126"/>
      <c r="T228" s="1126"/>
      <c r="U228" s="1126"/>
      <c r="V228" s="1126"/>
      <c r="W228" s="1126"/>
      <c r="X228" s="1126"/>
      <c r="Y228" s="1126"/>
      <c r="Z228" s="1126"/>
      <c r="AA228" s="1126"/>
    </row>
    <row r="229" ht="15.75" customHeight="1">
      <c r="A229" s="1126"/>
      <c r="B229" s="1126"/>
      <c r="C229" s="1126"/>
      <c r="D229" s="1126"/>
      <c r="E229" s="1126"/>
      <c r="F229" s="1126"/>
      <c r="G229" s="1126"/>
      <c r="H229" s="1126"/>
      <c r="I229" s="1126"/>
      <c r="J229" s="1126"/>
      <c r="K229" s="1126"/>
      <c r="L229" s="1126"/>
      <c r="M229" s="1126"/>
      <c r="N229" s="1126"/>
      <c r="O229" s="1126"/>
      <c r="P229" s="1126"/>
      <c r="Q229" s="1126"/>
      <c r="R229" s="1126"/>
      <c r="S229" s="1126"/>
      <c r="T229" s="1126"/>
      <c r="U229" s="1126"/>
      <c r="V229" s="1126"/>
      <c r="W229" s="1126"/>
      <c r="X229" s="1126"/>
      <c r="Y229" s="1126"/>
      <c r="Z229" s="1126"/>
      <c r="AA229" s="1126"/>
    </row>
    <row r="230" ht="15.75" customHeight="1">
      <c r="A230" s="1126"/>
      <c r="B230" s="1126"/>
      <c r="C230" s="1126"/>
      <c r="D230" s="1126"/>
      <c r="E230" s="1126"/>
      <c r="F230" s="1126"/>
      <c r="G230" s="1126"/>
      <c r="H230" s="1126"/>
      <c r="I230" s="1126"/>
      <c r="J230" s="1126"/>
      <c r="K230" s="1126"/>
      <c r="L230" s="1126"/>
      <c r="M230" s="1126"/>
      <c r="N230" s="1126"/>
      <c r="O230" s="1126"/>
      <c r="P230" s="1126"/>
      <c r="Q230" s="1126"/>
      <c r="R230" s="1126"/>
      <c r="S230" s="1126"/>
      <c r="T230" s="1126"/>
      <c r="U230" s="1126"/>
      <c r="V230" s="1126"/>
      <c r="W230" s="1126"/>
      <c r="X230" s="1126"/>
      <c r="Y230" s="1126"/>
      <c r="Z230" s="1126"/>
      <c r="AA230" s="1126"/>
    </row>
    <row r="231" ht="15.75" customHeight="1">
      <c r="A231" s="1126"/>
      <c r="B231" s="1126"/>
      <c r="C231" s="1126"/>
      <c r="D231" s="1126"/>
      <c r="E231" s="1126"/>
      <c r="F231" s="1126"/>
      <c r="G231" s="1126"/>
      <c r="H231" s="1126"/>
      <c r="I231" s="1126"/>
      <c r="J231" s="1126"/>
      <c r="K231" s="1126"/>
      <c r="L231" s="1126"/>
      <c r="M231" s="1126"/>
      <c r="N231" s="1126"/>
      <c r="O231" s="1126"/>
      <c r="P231" s="1126"/>
      <c r="Q231" s="1126"/>
      <c r="R231" s="1126"/>
      <c r="S231" s="1126"/>
      <c r="T231" s="1126"/>
      <c r="U231" s="1126"/>
      <c r="V231" s="1126"/>
      <c r="W231" s="1126"/>
      <c r="X231" s="1126"/>
      <c r="Y231" s="1126"/>
      <c r="Z231" s="1126"/>
      <c r="AA231" s="1126"/>
    </row>
    <row r="232" ht="15.75" customHeight="1">
      <c r="A232" s="1126"/>
      <c r="B232" s="1126"/>
      <c r="C232" s="1126"/>
      <c r="D232" s="1126"/>
      <c r="E232" s="1126"/>
      <c r="F232" s="1126"/>
      <c r="G232" s="1126"/>
      <c r="H232" s="1126"/>
      <c r="I232" s="1126"/>
      <c r="J232" s="1126"/>
      <c r="K232" s="1126"/>
      <c r="L232" s="1126"/>
      <c r="M232" s="1126"/>
      <c r="N232" s="1126"/>
      <c r="O232" s="1126"/>
      <c r="P232" s="1126"/>
      <c r="Q232" s="1126"/>
      <c r="R232" s="1126"/>
      <c r="S232" s="1126"/>
      <c r="T232" s="1126"/>
      <c r="U232" s="1126"/>
      <c r="V232" s="1126"/>
      <c r="W232" s="1126"/>
      <c r="X232" s="1126"/>
      <c r="Y232" s="1126"/>
      <c r="Z232" s="1126"/>
      <c r="AA232" s="1126"/>
    </row>
    <row r="233" ht="15.75" customHeight="1">
      <c r="A233" s="1126"/>
      <c r="B233" s="1126"/>
      <c r="C233" s="1126"/>
      <c r="D233" s="1126"/>
      <c r="E233" s="1126"/>
      <c r="F233" s="1126"/>
      <c r="G233" s="1126"/>
      <c r="H233" s="1126"/>
      <c r="I233" s="1126"/>
      <c r="J233" s="1126"/>
      <c r="K233" s="1126"/>
      <c r="L233" s="1126"/>
      <c r="M233" s="1126"/>
      <c r="N233" s="1126"/>
      <c r="O233" s="1126"/>
      <c r="P233" s="1126"/>
      <c r="Q233" s="1126"/>
      <c r="R233" s="1126"/>
      <c r="S233" s="1126"/>
      <c r="T233" s="1126"/>
      <c r="U233" s="1126"/>
      <c r="V233" s="1126"/>
      <c r="W233" s="1126"/>
      <c r="X233" s="1126"/>
      <c r="Y233" s="1126"/>
      <c r="Z233" s="1126"/>
      <c r="AA233" s="1126"/>
    </row>
    <row r="234" ht="15.75" customHeight="1">
      <c r="A234" s="1126"/>
      <c r="B234" s="1126"/>
      <c r="C234" s="1126"/>
      <c r="D234" s="1126"/>
      <c r="E234" s="1126"/>
      <c r="F234" s="1126"/>
      <c r="G234" s="1126"/>
      <c r="H234" s="1126"/>
      <c r="I234" s="1126"/>
      <c r="J234" s="1126"/>
      <c r="K234" s="1126"/>
      <c r="L234" s="1126"/>
      <c r="M234" s="1126"/>
      <c r="N234" s="1126"/>
      <c r="O234" s="1126"/>
      <c r="P234" s="1126"/>
      <c r="Q234" s="1126"/>
      <c r="R234" s="1126"/>
      <c r="S234" s="1126"/>
      <c r="T234" s="1126"/>
      <c r="U234" s="1126"/>
      <c r="V234" s="1126"/>
      <c r="W234" s="1126"/>
      <c r="X234" s="1126"/>
      <c r="Y234" s="1126"/>
      <c r="Z234" s="1126"/>
      <c r="AA234" s="1126"/>
    </row>
    <row r="235" ht="15.75" customHeight="1">
      <c r="A235" s="1126"/>
      <c r="B235" s="1126"/>
      <c r="C235" s="1126"/>
      <c r="D235" s="1126"/>
      <c r="E235" s="1126"/>
      <c r="F235" s="1126"/>
      <c r="G235" s="1126"/>
      <c r="H235" s="1126"/>
      <c r="I235" s="1126"/>
      <c r="J235" s="1126"/>
      <c r="K235" s="1126"/>
      <c r="L235" s="1126"/>
      <c r="M235" s="1126"/>
      <c r="N235" s="1126"/>
      <c r="O235" s="1126"/>
      <c r="P235" s="1126"/>
      <c r="Q235" s="1126"/>
      <c r="R235" s="1126"/>
      <c r="S235" s="1126"/>
      <c r="T235" s="1126"/>
      <c r="U235" s="1126"/>
      <c r="V235" s="1126"/>
      <c r="W235" s="1126"/>
      <c r="X235" s="1126"/>
      <c r="Y235" s="1126"/>
      <c r="Z235" s="1126"/>
      <c r="AA235" s="1126"/>
    </row>
    <row r="236" ht="15.75" customHeight="1">
      <c r="A236" s="1126"/>
      <c r="B236" s="1126"/>
      <c r="C236" s="1126"/>
      <c r="D236" s="1126"/>
      <c r="E236" s="1126"/>
      <c r="F236" s="1126"/>
      <c r="G236" s="1126"/>
      <c r="H236" s="1126"/>
      <c r="I236" s="1126"/>
      <c r="J236" s="1126"/>
      <c r="K236" s="1126"/>
      <c r="L236" s="1126"/>
      <c r="M236" s="1126"/>
      <c r="N236" s="1126"/>
      <c r="O236" s="1126"/>
      <c r="P236" s="1126"/>
      <c r="Q236" s="1126"/>
      <c r="R236" s="1126"/>
      <c r="S236" s="1126"/>
      <c r="T236" s="1126"/>
      <c r="U236" s="1126"/>
      <c r="V236" s="1126"/>
      <c r="W236" s="1126"/>
      <c r="X236" s="1126"/>
      <c r="Y236" s="1126"/>
      <c r="Z236" s="1126"/>
      <c r="AA236" s="1126"/>
    </row>
    <row r="237" ht="15.75" customHeight="1">
      <c r="A237" s="1126"/>
      <c r="B237" s="1126"/>
      <c r="C237" s="1126"/>
      <c r="D237" s="1126"/>
      <c r="E237" s="1126"/>
      <c r="F237" s="1126"/>
      <c r="G237" s="1126"/>
      <c r="H237" s="1126"/>
      <c r="I237" s="1126"/>
      <c r="J237" s="1126"/>
      <c r="K237" s="1126"/>
      <c r="L237" s="1126"/>
      <c r="M237" s="1126"/>
      <c r="N237" s="1126"/>
      <c r="O237" s="1126"/>
      <c r="P237" s="1126"/>
      <c r="Q237" s="1126"/>
      <c r="R237" s="1126"/>
      <c r="S237" s="1126"/>
      <c r="T237" s="1126"/>
      <c r="U237" s="1126"/>
      <c r="V237" s="1126"/>
      <c r="W237" s="1126"/>
      <c r="X237" s="1126"/>
      <c r="Y237" s="1126"/>
      <c r="Z237" s="1126"/>
      <c r="AA237" s="1126"/>
    </row>
    <row r="238" ht="15.75" customHeight="1">
      <c r="A238" s="1126"/>
      <c r="B238" s="1126"/>
      <c r="C238" s="1126"/>
      <c r="D238" s="1126"/>
      <c r="E238" s="1126"/>
      <c r="F238" s="1126"/>
      <c r="G238" s="1126"/>
      <c r="H238" s="1126"/>
      <c r="I238" s="1126"/>
      <c r="J238" s="1126"/>
      <c r="K238" s="1126"/>
      <c r="L238" s="1126"/>
      <c r="M238" s="1126"/>
      <c r="N238" s="1126"/>
      <c r="O238" s="1126"/>
      <c r="P238" s="1126"/>
      <c r="Q238" s="1126"/>
      <c r="R238" s="1126"/>
      <c r="S238" s="1126"/>
      <c r="T238" s="1126"/>
      <c r="U238" s="1126"/>
      <c r="V238" s="1126"/>
      <c r="W238" s="1126"/>
      <c r="X238" s="1126"/>
      <c r="Y238" s="1126"/>
      <c r="Z238" s="1126"/>
      <c r="AA238" s="1126"/>
    </row>
    <row r="239" ht="15.75" customHeight="1">
      <c r="A239" s="1126"/>
      <c r="B239" s="1126"/>
      <c r="C239" s="1126"/>
      <c r="D239" s="1126"/>
      <c r="E239" s="1126"/>
      <c r="F239" s="1126"/>
      <c r="G239" s="1126"/>
      <c r="H239" s="1126"/>
      <c r="I239" s="1126"/>
      <c r="J239" s="1126"/>
      <c r="K239" s="1126"/>
      <c r="L239" s="1126"/>
      <c r="M239" s="1126"/>
      <c r="N239" s="1126"/>
      <c r="O239" s="1126"/>
      <c r="P239" s="1126"/>
      <c r="Q239" s="1126"/>
      <c r="R239" s="1126"/>
      <c r="S239" s="1126"/>
      <c r="T239" s="1126"/>
      <c r="U239" s="1126"/>
      <c r="V239" s="1126"/>
      <c r="W239" s="1126"/>
      <c r="X239" s="1126"/>
      <c r="Y239" s="1126"/>
      <c r="Z239" s="1126"/>
      <c r="AA239" s="1126"/>
    </row>
    <row r="240" ht="15.75" customHeight="1">
      <c r="A240" s="1126"/>
      <c r="B240" s="1126"/>
      <c r="C240" s="1126"/>
      <c r="D240" s="1126"/>
      <c r="E240" s="1126"/>
      <c r="F240" s="1126"/>
      <c r="G240" s="1126"/>
      <c r="H240" s="1126"/>
      <c r="I240" s="1126"/>
      <c r="J240" s="1126"/>
      <c r="K240" s="1126"/>
      <c r="L240" s="1126"/>
      <c r="M240" s="1126"/>
      <c r="N240" s="1126"/>
      <c r="O240" s="1126"/>
      <c r="P240" s="1126"/>
      <c r="Q240" s="1126"/>
      <c r="R240" s="1126"/>
      <c r="S240" s="1126"/>
      <c r="T240" s="1126"/>
      <c r="U240" s="1126"/>
      <c r="V240" s="1126"/>
      <c r="W240" s="1126"/>
      <c r="X240" s="1126"/>
      <c r="Y240" s="1126"/>
      <c r="Z240" s="1126"/>
      <c r="AA240" s="1126"/>
    </row>
    <row r="241" ht="15.75" customHeight="1">
      <c r="A241" s="1126"/>
      <c r="B241" s="1126"/>
      <c r="C241" s="1126"/>
      <c r="D241" s="1126"/>
      <c r="E241" s="1126"/>
      <c r="F241" s="1126"/>
      <c r="G241" s="1126"/>
      <c r="H241" s="1126"/>
      <c r="I241" s="1126"/>
      <c r="J241" s="1126"/>
      <c r="K241" s="1126"/>
      <c r="L241" s="1126"/>
      <c r="M241" s="1126"/>
      <c r="N241" s="1126"/>
      <c r="O241" s="1126"/>
      <c r="P241" s="1126"/>
      <c r="Q241" s="1126"/>
      <c r="R241" s="1126"/>
      <c r="S241" s="1126"/>
      <c r="T241" s="1126"/>
      <c r="U241" s="1126"/>
      <c r="V241" s="1126"/>
      <c r="W241" s="1126"/>
      <c r="X241" s="1126"/>
      <c r="Y241" s="1126"/>
      <c r="Z241" s="1126"/>
      <c r="AA241" s="1126"/>
    </row>
    <row r="242" ht="15.75" customHeight="1">
      <c r="A242" s="1126"/>
      <c r="B242" s="1126"/>
      <c r="C242" s="1126"/>
      <c r="D242" s="1126"/>
      <c r="E242" s="1126"/>
      <c r="F242" s="1126"/>
      <c r="G242" s="1126"/>
      <c r="H242" s="1126"/>
      <c r="I242" s="1126"/>
      <c r="J242" s="1126"/>
      <c r="K242" s="1126"/>
      <c r="L242" s="1126"/>
      <c r="M242" s="1126"/>
      <c r="N242" s="1126"/>
      <c r="O242" s="1126"/>
      <c r="P242" s="1126"/>
      <c r="Q242" s="1126"/>
      <c r="R242" s="1126"/>
      <c r="S242" s="1126"/>
      <c r="T242" s="1126"/>
      <c r="U242" s="1126"/>
      <c r="V242" s="1126"/>
      <c r="W242" s="1126"/>
      <c r="X242" s="1126"/>
      <c r="Y242" s="1126"/>
      <c r="Z242" s="1126"/>
      <c r="AA242" s="1126"/>
    </row>
    <row r="243" ht="15.75" customHeight="1">
      <c r="A243" s="1126"/>
      <c r="B243" s="1126"/>
      <c r="C243" s="1126"/>
      <c r="D243" s="1126"/>
      <c r="E243" s="1126"/>
      <c r="F243" s="1126"/>
      <c r="G243" s="1126"/>
      <c r="H243" s="1126"/>
      <c r="I243" s="1126"/>
      <c r="J243" s="1126"/>
      <c r="K243" s="1126"/>
      <c r="L243" s="1126"/>
      <c r="M243" s="1126"/>
      <c r="N243" s="1126"/>
      <c r="O243" s="1126"/>
      <c r="P243" s="1126"/>
      <c r="Q243" s="1126"/>
      <c r="R243" s="1126"/>
      <c r="S243" s="1126"/>
      <c r="T243" s="1126"/>
      <c r="U243" s="1126"/>
      <c r="V243" s="1126"/>
      <c r="W243" s="1126"/>
      <c r="X243" s="1126"/>
      <c r="Y243" s="1126"/>
      <c r="Z243" s="1126"/>
      <c r="AA243" s="1126"/>
    </row>
    <row r="244" ht="15.75" customHeight="1">
      <c r="A244" s="1126"/>
      <c r="B244" s="1126"/>
      <c r="C244" s="1126"/>
      <c r="D244" s="1126"/>
      <c r="E244" s="1126"/>
      <c r="F244" s="1126"/>
      <c r="G244" s="1126"/>
      <c r="H244" s="1126"/>
      <c r="I244" s="1126"/>
      <c r="J244" s="1126"/>
      <c r="K244" s="1126"/>
      <c r="L244" s="1126"/>
      <c r="M244" s="1126"/>
      <c r="N244" s="1126"/>
      <c r="O244" s="1126"/>
      <c r="P244" s="1126"/>
      <c r="Q244" s="1126"/>
      <c r="R244" s="1126"/>
      <c r="S244" s="1126"/>
      <c r="T244" s="1126"/>
      <c r="U244" s="1126"/>
      <c r="V244" s="1126"/>
      <c r="W244" s="1126"/>
      <c r="X244" s="1126"/>
      <c r="Y244" s="1126"/>
      <c r="Z244" s="1126"/>
      <c r="AA244" s="1126"/>
    </row>
    <row r="245" ht="15.75" customHeight="1">
      <c r="A245" s="1126"/>
      <c r="B245" s="1126"/>
      <c r="C245" s="1126"/>
      <c r="D245" s="1126"/>
      <c r="E245" s="1126"/>
      <c r="F245" s="1126"/>
      <c r="G245" s="1126"/>
      <c r="H245" s="1126"/>
      <c r="I245" s="1126"/>
      <c r="J245" s="1126"/>
      <c r="K245" s="1126"/>
      <c r="L245" s="1126"/>
      <c r="M245" s="1126"/>
      <c r="N245" s="1126"/>
      <c r="O245" s="1126"/>
      <c r="P245" s="1126"/>
      <c r="Q245" s="1126"/>
      <c r="R245" s="1126"/>
      <c r="S245" s="1126"/>
      <c r="T245" s="1126"/>
      <c r="U245" s="1126"/>
      <c r="V245" s="1126"/>
      <c r="W245" s="1126"/>
      <c r="X245" s="1126"/>
      <c r="Y245" s="1126"/>
      <c r="Z245" s="1126"/>
      <c r="AA245" s="1126"/>
    </row>
    <row r="246" ht="15.75" customHeight="1">
      <c r="A246" s="1126"/>
      <c r="B246" s="1126"/>
      <c r="C246" s="1126"/>
      <c r="D246" s="1126"/>
      <c r="E246" s="1126"/>
      <c r="F246" s="1126"/>
      <c r="G246" s="1126"/>
      <c r="H246" s="1126"/>
      <c r="I246" s="1126"/>
      <c r="J246" s="1126"/>
      <c r="K246" s="1126"/>
      <c r="L246" s="1126"/>
      <c r="M246" s="1126"/>
      <c r="N246" s="1126"/>
      <c r="O246" s="1126"/>
      <c r="P246" s="1126"/>
      <c r="Q246" s="1126"/>
      <c r="R246" s="1126"/>
      <c r="S246" s="1126"/>
      <c r="T246" s="1126"/>
      <c r="U246" s="1126"/>
      <c r="V246" s="1126"/>
      <c r="W246" s="1126"/>
      <c r="X246" s="1126"/>
      <c r="Y246" s="1126"/>
      <c r="Z246" s="1126"/>
      <c r="AA246" s="1126"/>
    </row>
    <row r="247" ht="15.75" customHeight="1">
      <c r="A247" s="1126"/>
      <c r="B247" s="1126"/>
      <c r="C247" s="1126"/>
      <c r="D247" s="1126"/>
      <c r="E247" s="1126"/>
      <c r="F247" s="1126"/>
      <c r="G247" s="1126"/>
      <c r="H247" s="1126"/>
      <c r="I247" s="1126"/>
      <c r="J247" s="1126"/>
      <c r="K247" s="1126"/>
      <c r="L247" s="1126"/>
      <c r="M247" s="1126"/>
      <c r="N247" s="1126"/>
      <c r="O247" s="1126"/>
      <c r="P247" s="1126"/>
      <c r="Q247" s="1126"/>
      <c r="R247" s="1126"/>
      <c r="S247" s="1126"/>
      <c r="T247" s="1126"/>
      <c r="U247" s="1126"/>
      <c r="V247" s="1126"/>
      <c r="W247" s="1126"/>
      <c r="X247" s="1126"/>
      <c r="Y247" s="1126"/>
      <c r="Z247" s="1126"/>
      <c r="AA247" s="1126"/>
    </row>
    <row r="248" ht="15.75" customHeight="1">
      <c r="A248" s="1126"/>
      <c r="B248" s="1126"/>
      <c r="C248" s="1126"/>
      <c r="D248" s="1126"/>
      <c r="E248" s="1126"/>
      <c r="F248" s="1126"/>
      <c r="G248" s="1126"/>
      <c r="H248" s="1126"/>
      <c r="I248" s="1126"/>
      <c r="J248" s="1126"/>
      <c r="K248" s="1126"/>
      <c r="L248" s="1126"/>
      <c r="M248" s="1126"/>
      <c r="N248" s="1126"/>
      <c r="O248" s="1126"/>
      <c r="P248" s="1126"/>
      <c r="Q248" s="1126"/>
      <c r="R248" s="1126"/>
      <c r="S248" s="1126"/>
      <c r="T248" s="1126"/>
      <c r="U248" s="1126"/>
      <c r="V248" s="1126"/>
      <c r="W248" s="1126"/>
      <c r="X248" s="1126"/>
      <c r="Y248" s="1126"/>
      <c r="Z248" s="1126"/>
      <c r="AA248" s="1126"/>
    </row>
    <row r="249" ht="15.75" customHeight="1">
      <c r="A249" s="1126"/>
      <c r="B249" s="1126"/>
      <c r="C249" s="1126"/>
      <c r="D249" s="1126"/>
      <c r="E249" s="1126"/>
      <c r="F249" s="1126"/>
      <c r="G249" s="1126"/>
      <c r="H249" s="1126"/>
      <c r="I249" s="1126"/>
      <c r="J249" s="1126"/>
      <c r="K249" s="1126"/>
      <c r="L249" s="1126"/>
      <c r="M249" s="1126"/>
      <c r="N249" s="1126"/>
      <c r="O249" s="1126"/>
      <c r="P249" s="1126"/>
      <c r="Q249" s="1126"/>
      <c r="R249" s="1126"/>
      <c r="S249" s="1126"/>
      <c r="T249" s="1126"/>
      <c r="U249" s="1126"/>
      <c r="V249" s="1126"/>
      <c r="W249" s="1126"/>
      <c r="X249" s="1126"/>
      <c r="Y249" s="1126"/>
      <c r="Z249" s="1126"/>
      <c r="AA249" s="1126"/>
    </row>
    <row r="250" ht="15.75" customHeight="1">
      <c r="A250" s="1126"/>
      <c r="B250" s="1126"/>
      <c r="C250" s="1126"/>
      <c r="D250" s="1126"/>
      <c r="E250" s="1126"/>
      <c r="F250" s="1126"/>
      <c r="G250" s="1126"/>
      <c r="H250" s="1126"/>
      <c r="I250" s="1126"/>
      <c r="J250" s="1126"/>
      <c r="K250" s="1126"/>
      <c r="L250" s="1126"/>
      <c r="M250" s="1126"/>
      <c r="N250" s="1126"/>
      <c r="O250" s="1126"/>
      <c r="P250" s="1126"/>
      <c r="Q250" s="1126"/>
      <c r="R250" s="1126"/>
      <c r="S250" s="1126"/>
      <c r="T250" s="1126"/>
      <c r="U250" s="1126"/>
      <c r="V250" s="1126"/>
      <c r="W250" s="1126"/>
      <c r="X250" s="1126"/>
      <c r="Y250" s="1126"/>
      <c r="Z250" s="1126"/>
      <c r="AA250" s="1126"/>
    </row>
    <row r="251" ht="15.75" customHeight="1">
      <c r="A251" s="1126"/>
      <c r="B251" s="1126"/>
      <c r="C251" s="1126"/>
      <c r="D251" s="1126"/>
      <c r="E251" s="1126"/>
      <c r="F251" s="1126"/>
      <c r="G251" s="1126"/>
      <c r="H251" s="1126"/>
      <c r="I251" s="1126"/>
      <c r="J251" s="1126"/>
      <c r="K251" s="1126"/>
      <c r="L251" s="1126"/>
      <c r="M251" s="1126"/>
      <c r="N251" s="1126"/>
      <c r="O251" s="1126"/>
      <c r="P251" s="1126"/>
      <c r="Q251" s="1126"/>
      <c r="R251" s="1126"/>
      <c r="S251" s="1126"/>
      <c r="T251" s="1126"/>
      <c r="U251" s="1126"/>
      <c r="V251" s="1126"/>
      <c r="W251" s="1126"/>
      <c r="X251" s="1126"/>
      <c r="Y251" s="1126"/>
      <c r="Z251" s="1126"/>
      <c r="AA251" s="1126"/>
    </row>
    <row r="252" ht="15.75" customHeight="1">
      <c r="A252" s="1126"/>
      <c r="B252" s="1126"/>
      <c r="C252" s="1126"/>
      <c r="D252" s="1126"/>
      <c r="E252" s="1126"/>
      <c r="F252" s="1126"/>
      <c r="G252" s="1126"/>
      <c r="H252" s="1126"/>
      <c r="I252" s="1126"/>
      <c r="J252" s="1126"/>
      <c r="K252" s="1126"/>
      <c r="L252" s="1126"/>
      <c r="M252" s="1126"/>
      <c r="N252" s="1126"/>
      <c r="O252" s="1126"/>
      <c r="P252" s="1126"/>
      <c r="Q252" s="1126"/>
      <c r="R252" s="1126"/>
      <c r="S252" s="1126"/>
      <c r="T252" s="1126"/>
      <c r="U252" s="1126"/>
      <c r="V252" s="1126"/>
      <c r="W252" s="1126"/>
      <c r="X252" s="1126"/>
      <c r="Y252" s="1126"/>
      <c r="Z252" s="1126"/>
      <c r="AA252" s="1126"/>
    </row>
    <row r="253" ht="15.75" customHeight="1">
      <c r="A253" s="1126"/>
      <c r="B253" s="1126"/>
      <c r="C253" s="1126"/>
      <c r="D253" s="1126"/>
      <c r="E253" s="1126"/>
      <c r="F253" s="1126"/>
      <c r="G253" s="1126"/>
      <c r="H253" s="1126"/>
      <c r="I253" s="1126"/>
      <c r="J253" s="1126"/>
      <c r="K253" s="1126"/>
      <c r="L253" s="1126"/>
      <c r="M253" s="1126"/>
      <c r="N253" s="1126"/>
      <c r="O253" s="1126"/>
      <c r="P253" s="1126"/>
      <c r="Q253" s="1126"/>
      <c r="R253" s="1126"/>
      <c r="S253" s="1126"/>
      <c r="T253" s="1126"/>
      <c r="U253" s="1126"/>
      <c r="V253" s="1126"/>
      <c r="W253" s="1126"/>
      <c r="X253" s="1126"/>
      <c r="Y253" s="1126"/>
      <c r="Z253" s="1126"/>
      <c r="AA253" s="1126"/>
    </row>
    <row r="254" ht="15.75" customHeight="1">
      <c r="A254" s="1126"/>
      <c r="B254" s="1126"/>
      <c r="C254" s="1126"/>
      <c r="D254" s="1126"/>
      <c r="E254" s="1126"/>
      <c r="F254" s="1126"/>
      <c r="G254" s="1126"/>
      <c r="H254" s="1126"/>
      <c r="I254" s="1126"/>
      <c r="J254" s="1126"/>
      <c r="K254" s="1126"/>
      <c r="L254" s="1126"/>
      <c r="M254" s="1126"/>
      <c r="N254" s="1126"/>
      <c r="O254" s="1126"/>
      <c r="P254" s="1126"/>
      <c r="Q254" s="1126"/>
      <c r="R254" s="1126"/>
      <c r="S254" s="1126"/>
      <c r="T254" s="1126"/>
      <c r="U254" s="1126"/>
      <c r="V254" s="1126"/>
      <c r="W254" s="1126"/>
      <c r="X254" s="1126"/>
      <c r="Y254" s="1126"/>
      <c r="Z254" s="1126"/>
      <c r="AA254" s="1126"/>
    </row>
    <row r="255" ht="15.75" customHeight="1">
      <c r="A255" s="1126"/>
      <c r="B255" s="1126"/>
      <c r="C255" s="1126"/>
      <c r="D255" s="1126"/>
      <c r="E255" s="1126"/>
      <c r="F255" s="1126"/>
      <c r="G255" s="1126"/>
      <c r="H255" s="1126"/>
      <c r="I255" s="1126"/>
      <c r="J255" s="1126"/>
      <c r="K255" s="1126"/>
      <c r="L255" s="1126"/>
      <c r="M255" s="1126"/>
      <c r="N255" s="1126"/>
      <c r="O255" s="1126"/>
      <c r="P255" s="1126"/>
      <c r="Q255" s="1126"/>
      <c r="R255" s="1126"/>
      <c r="S255" s="1126"/>
      <c r="T255" s="1126"/>
      <c r="U255" s="1126"/>
      <c r="V255" s="1126"/>
      <c r="W255" s="1126"/>
      <c r="X255" s="1126"/>
      <c r="Y255" s="1126"/>
      <c r="Z255" s="1126"/>
      <c r="AA255" s="1126"/>
    </row>
    <row r="256" ht="15.75" customHeight="1">
      <c r="A256" s="1126"/>
      <c r="B256" s="1126"/>
      <c r="C256" s="1126"/>
      <c r="D256" s="1126"/>
      <c r="E256" s="1126"/>
      <c r="F256" s="1126"/>
      <c r="G256" s="1126"/>
      <c r="H256" s="1126"/>
      <c r="I256" s="1126"/>
      <c r="J256" s="1126"/>
      <c r="K256" s="1126"/>
      <c r="L256" s="1126"/>
      <c r="M256" s="1126"/>
      <c r="N256" s="1126"/>
      <c r="O256" s="1126"/>
      <c r="P256" s="1126"/>
      <c r="Q256" s="1126"/>
      <c r="R256" s="1126"/>
      <c r="S256" s="1126"/>
      <c r="T256" s="1126"/>
      <c r="U256" s="1126"/>
      <c r="V256" s="1126"/>
      <c r="W256" s="1126"/>
      <c r="X256" s="1126"/>
      <c r="Y256" s="1126"/>
      <c r="Z256" s="1126"/>
      <c r="AA256" s="1126"/>
    </row>
    <row r="257" ht="15.75" customHeight="1">
      <c r="A257" s="1126"/>
      <c r="B257" s="1126"/>
      <c r="C257" s="1126"/>
      <c r="D257" s="1126"/>
      <c r="E257" s="1126"/>
      <c r="F257" s="1126"/>
      <c r="G257" s="1126"/>
      <c r="H257" s="1126"/>
      <c r="I257" s="1126"/>
      <c r="J257" s="1126"/>
      <c r="K257" s="1126"/>
      <c r="L257" s="1126"/>
      <c r="M257" s="1126"/>
      <c r="N257" s="1126"/>
      <c r="O257" s="1126"/>
      <c r="P257" s="1126"/>
      <c r="Q257" s="1126"/>
      <c r="R257" s="1126"/>
      <c r="S257" s="1126"/>
      <c r="T257" s="1126"/>
      <c r="U257" s="1126"/>
      <c r="V257" s="1126"/>
      <c r="W257" s="1126"/>
      <c r="X257" s="1126"/>
      <c r="Y257" s="1126"/>
      <c r="Z257" s="1126"/>
      <c r="AA257" s="1126"/>
    </row>
    <row r="258" ht="15.75" customHeight="1">
      <c r="A258" s="1126"/>
      <c r="B258" s="1126"/>
      <c r="C258" s="1126"/>
      <c r="D258" s="1126"/>
      <c r="E258" s="1126"/>
      <c r="F258" s="1126"/>
      <c r="G258" s="1126"/>
      <c r="H258" s="1126"/>
      <c r="I258" s="1126"/>
      <c r="J258" s="1126"/>
      <c r="K258" s="1126"/>
      <c r="L258" s="1126"/>
      <c r="M258" s="1126"/>
      <c r="N258" s="1126"/>
      <c r="O258" s="1126"/>
      <c r="P258" s="1126"/>
      <c r="Q258" s="1126"/>
      <c r="R258" s="1126"/>
      <c r="S258" s="1126"/>
      <c r="T258" s="1126"/>
      <c r="U258" s="1126"/>
      <c r="V258" s="1126"/>
      <c r="W258" s="1126"/>
      <c r="X258" s="1126"/>
      <c r="Y258" s="1126"/>
      <c r="Z258" s="1126"/>
      <c r="AA258" s="1126"/>
    </row>
    <row r="259" ht="15.75" customHeight="1">
      <c r="A259" s="1126"/>
      <c r="B259" s="1126"/>
      <c r="C259" s="1126"/>
      <c r="D259" s="1126"/>
      <c r="E259" s="1126"/>
      <c r="F259" s="1126"/>
      <c r="G259" s="1126"/>
      <c r="H259" s="1126"/>
      <c r="I259" s="1126"/>
      <c r="J259" s="1126"/>
      <c r="K259" s="1126"/>
      <c r="L259" s="1126"/>
      <c r="M259" s="1126"/>
      <c r="N259" s="1126"/>
      <c r="O259" s="1126"/>
      <c r="P259" s="1126"/>
      <c r="Q259" s="1126"/>
      <c r="R259" s="1126"/>
      <c r="S259" s="1126"/>
      <c r="T259" s="1126"/>
      <c r="U259" s="1126"/>
      <c r="V259" s="1126"/>
      <c r="W259" s="1126"/>
      <c r="X259" s="1126"/>
      <c r="Y259" s="1126"/>
      <c r="Z259" s="1126"/>
      <c r="AA259" s="1126"/>
    </row>
    <row r="260" ht="15.75" customHeight="1">
      <c r="A260" s="1126"/>
      <c r="B260" s="1126"/>
      <c r="C260" s="1126"/>
      <c r="D260" s="1126"/>
      <c r="E260" s="1126"/>
      <c r="F260" s="1126"/>
      <c r="G260" s="1126"/>
      <c r="H260" s="1126"/>
      <c r="I260" s="1126"/>
      <c r="J260" s="1126"/>
      <c r="K260" s="1126"/>
      <c r="L260" s="1126"/>
      <c r="M260" s="1126"/>
      <c r="N260" s="1126"/>
      <c r="O260" s="1126"/>
      <c r="P260" s="1126"/>
      <c r="Q260" s="1126"/>
      <c r="R260" s="1126"/>
      <c r="S260" s="1126"/>
      <c r="T260" s="1126"/>
      <c r="U260" s="1126"/>
      <c r="V260" s="1126"/>
      <c r="W260" s="1126"/>
      <c r="X260" s="1126"/>
      <c r="Y260" s="1126"/>
      <c r="Z260" s="1126"/>
      <c r="AA260" s="1126"/>
    </row>
    <row r="261" ht="15.75" customHeight="1">
      <c r="A261" s="1126"/>
      <c r="B261" s="1126"/>
      <c r="C261" s="1126"/>
      <c r="D261" s="1126"/>
      <c r="E261" s="1126"/>
      <c r="F261" s="1126"/>
      <c r="G261" s="1126"/>
      <c r="H261" s="1126"/>
      <c r="I261" s="1126"/>
      <c r="J261" s="1126"/>
      <c r="K261" s="1126"/>
      <c r="L261" s="1126"/>
      <c r="M261" s="1126"/>
      <c r="N261" s="1126"/>
      <c r="O261" s="1126"/>
      <c r="P261" s="1126"/>
      <c r="Q261" s="1126"/>
      <c r="R261" s="1126"/>
      <c r="S261" s="1126"/>
      <c r="T261" s="1126"/>
      <c r="U261" s="1126"/>
      <c r="V261" s="1126"/>
      <c r="W261" s="1126"/>
      <c r="X261" s="1126"/>
      <c r="Y261" s="1126"/>
      <c r="Z261" s="1126"/>
      <c r="AA261" s="1126"/>
    </row>
    <row r="262" ht="15.75" customHeight="1">
      <c r="A262" s="1126"/>
      <c r="B262" s="1126"/>
      <c r="C262" s="1126"/>
      <c r="D262" s="1126"/>
      <c r="E262" s="1126"/>
      <c r="F262" s="1126"/>
      <c r="G262" s="1126"/>
      <c r="H262" s="1126"/>
      <c r="I262" s="1126"/>
      <c r="J262" s="1126"/>
      <c r="K262" s="1126"/>
      <c r="L262" s="1126"/>
      <c r="M262" s="1126"/>
      <c r="N262" s="1126"/>
      <c r="O262" s="1126"/>
      <c r="P262" s="1126"/>
      <c r="Q262" s="1126"/>
      <c r="R262" s="1126"/>
      <c r="S262" s="1126"/>
      <c r="T262" s="1126"/>
      <c r="U262" s="1126"/>
      <c r="V262" s="1126"/>
      <c r="W262" s="1126"/>
      <c r="X262" s="1126"/>
      <c r="Y262" s="1126"/>
      <c r="Z262" s="1126"/>
      <c r="AA262" s="1126"/>
    </row>
    <row r="263" ht="15.75" customHeight="1">
      <c r="A263" s="1126"/>
      <c r="B263" s="1126"/>
      <c r="C263" s="1126"/>
      <c r="D263" s="1126"/>
      <c r="E263" s="1126"/>
      <c r="F263" s="1126"/>
      <c r="G263" s="1126"/>
      <c r="H263" s="1126"/>
      <c r="I263" s="1126"/>
      <c r="J263" s="1126"/>
      <c r="K263" s="1126"/>
      <c r="L263" s="1126"/>
      <c r="M263" s="1126"/>
      <c r="N263" s="1126"/>
      <c r="O263" s="1126"/>
      <c r="P263" s="1126"/>
      <c r="Q263" s="1126"/>
      <c r="R263" s="1126"/>
      <c r="S263" s="1126"/>
      <c r="T263" s="1126"/>
      <c r="U263" s="1126"/>
      <c r="V263" s="1126"/>
      <c r="W263" s="1126"/>
      <c r="X263" s="1126"/>
      <c r="Y263" s="1126"/>
      <c r="Z263" s="1126"/>
      <c r="AA263" s="1126"/>
    </row>
    <row r="264" ht="15.75" customHeight="1">
      <c r="A264" s="1126"/>
      <c r="B264" s="1126"/>
      <c r="C264" s="1126"/>
      <c r="D264" s="1126"/>
      <c r="E264" s="1126"/>
      <c r="F264" s="1126"/>
      <c r="G264" s="1126"/>
      <c r="H264" s="1126"/>
      <c r="I264" s="1126"/>
      <c r="J264" s="1126"/>
      <c r="K264" s="1126"/>
      <c r="L264" s="1126"/>
      <c r="M264" s="1126"/>
      <c r="N264" s="1126"/>
      <c r="O264" s="1126"/>
      <c r="P264" s="1126"/>
      <c r="Q264" s="1126"/>
      <c r="R264" s="1126"/>
      <c r="S264" s="1126"/>
      <c r="T264" s="1126"/>
      <c r="U264" s="1126"/>
      <c r="V264" s="1126"/>
      <c r="W264" s="1126"/>
      <c r="X264" s="1126"/>
      <c r="Y264" s="1126"/>
      <c r="Z264" s="1126"/>
      <c r="AA264" s="1126"/>
    </row>
    <row r="265" ht="15.75" customHeight="1">
      <c r="A265" s="1126"/>
      <c r="B265" s="1126"/>
      <c r="C265" s="1126"/>
      <c r="D265" s="1126"/>
      <c r="E265" s="1126"/>
      <c r="F265" s="1126"/>
      <c r="G265" s="1126"/>
      <c r="H265" s="1126"/>
      <c r="I265" s="1126"/>
      <c r="J265" s="1126"/>
      <c r="K265" s="1126"/>
      <c r="L265" s="1126"/>
      <c r="M265" s="1126"/>
      <c r="N265" s="1126"/>
      <c r="O265" s="1126"/>
      <c r="P265" s="1126"/>
      <c r="Q265" s="1126"/>
      <c r="R265" s="1126"/>
      <c r="S265" s="1126"/>
      <c r="T265" s="1126"/>
      <c r="U265" s="1126"/>
      <c r="V265" s="1126"/>
      <c r="W265" s="1126"/>
      <c r="X265" s="1126"/>
      <c r="Y265" s="1126"/>
      <c r="Z265" s="1126"/>
      <c r="AA265" s="1126"/>
    </row>
    <row r="266" ht="15.75" customHeight="1">
      <c r="A266" s="1126"/>
      <c r="B266" s="1126"/>
      <c r="C266" s="1126"/>
      <c r="D266" s="1126"/>
      <c r="E266" s="1126"/>
      <c r="F266" s="1126"/>
      <c r="G266" s="1126"/>
      <c r="H266" s="1126"/>
      <c r="I266" s="1126"/>
      <c r="J266" s="1126"/>
      <c r="K266" s="1126"/>
      <c r="L266" s="1126"/>
      <c r="M266" s="1126"/>
      <c r="N266" s="1126"/>
      <c r="O266" s="1126"/>
      <c r="P266" s="1126"/>
      <c r="Q266" s="1126"/>
      <c r="R266" s="1126"/>
      <c r="S266" s="1126"/>
      <c r="T266" s="1126"/>
      <c r="U266" s="1126"/>
      <c r="V266" s="1126"/>
      <c r="W266" s="1126"/>
      <c r="X266" s="1126"/>
      <c r="Y266" s="1126"/>
      <c r="Z266" s="1126"/>
      <c r="AA266" s="1126"/>
    </row>
    <row r="267" ht="15.75" customHeight="1">
      <c r="A267" s="1126"/>
      <c r="B267" s="1126"/>
      <c r="C267" s="1126"/>
      <c r="D267" s="1126"/>
      <c r="E267" s="1126"/>
      <c r="F267" s="1126"/>
      <c r="G267" s="1126"/>
      <c r="H267" s="1126"/>
      <c r="I267" s="1126"/>
      <c r="J267" s="1126"/>
      <c r="K267" s="1126"/>
      <c r="L267" s="1126"/>
      <c r="M267" s="1126"/>
      <c r="N267" s="1126"/>
      <c r="O267" s="1126"/>
      <c r="P267" s="1126"/>
      <c r="Q267" s="1126"/>
      <c r="R267" s="1126"/>
      <c r="S267" s="1126"/>
      <c r="T267" s="1126"/>
      <c r="U267" s="1126"/>
      <c r="V267" s="1126"/>
      <c r="W267" s="1126"/>
      <c r="X267" s="1126"/>
      <c r="Y267" s="1126"/>
      <c r="Z267" s="1126"/>
      <c r="AA267" s="1126"/>
    </row>
    <row r="268" ht="15.75" customHeight="1">
      <c r="A268" s="1126"/>
      <c r="B268" s="1126"/>
      <c r="C268" s="1126"/>
      <c r="D268" s="1126"/>
      <c r="E268" s="1126"/>
      <c r="F268" s="1126"/>
      <c r="G268" s="1126"/>
      <c r="H268" s="1126"/>
      <c r="I268" s="1126"/>
      <c r="J268" s="1126"/>
      <c r="K268" s="1126"/>
      <c r="L268" s="1126"/>
      <c r="M268" s="1126"/>
      <c r="N268" s="1126"/>
      <c r="O268" s="1126"/>
      <c r="P268" s="1126"/>
      <c r="Q268" s="1126"/>
      <c r="R268" s="1126"/>
      <c r="S268" s="1126"/>
      <c r="T268" s="1126"/>
      <c r="U268" s="1126"/>
      <c r="V268" s="1126"/>
      <c r="W268" s="1126"/>
      <c r="X268" s="1126"/>
      <c r="Y268" s="1126"/>
      <c r="Z268" s="1126"/>
      <c r="AA268" s="1126"/>
    </row>
    <row r="269" ht="15.75" customHeight="1">
      <c r="A269" s="1126"/>
      <c r="B269" s="1126"/>
      <c r="C269" s="1126"/>
      <c r="D269" s="1126"/>
      <c r="E269" s="1126"/>
      <c r="F269" s="1126"/>
      <c r="G269" s="1126"/>
      <c r="H269" s="1126"/>
      <c r="I269" s="1126"/>
      <c r="J269" s="1126"/>
      <c r="K269" s="1126"/>
      <c r="L269" s="1126"/>
      <c r="M269" s="1126"/>
      <c r="N269" s="1126"/>
      <c r="O269" s="1126"/>
      <c r="P269" s="1126"/>
      <c r="Q269" s="1126"/>
      <c r="R269" s="1126"/>
      <c r="S269" s="1126"/>
      <c r="T269" s="1126"/>
      <c r="U269" s="1126"/>
      <c r="V269" s="1126"/>
      <c r="W269" s="1126"/>
      <c r="X269" s="1126"/>
      <c r="Y269" s="1126"/>
      <c r="Z269" s="1126"/>
      <c r="AA269" s="1126"/>
    </row>
    <row r="270" ht="15.75" customHeight="1">
      <c r="A270" s="1126"/>
      <c r="B270" s="1126"/>
      <c r="C270" s="1126"/>
      <c r="D270" s="1126"/>
      <c r="E270" s="1126"/>
      <c r="F270" s="1126"/>
      <c r="G270" s="1126"/>
      <c r="H270" s="1126"/>
      <c r="I270" s="1126"/>
      <c r="J270" s="1126"/>
      <c r="K270" s="1126"/>
      <c r="L270" s="1126"/>
      <c r="M270" s="1126"/>
      <c r="N270" s="1126"/>
      <c r="O270" s="1126"/>
      <c r="P270" s="1126"/>
      <c r="Q270" s="1126"/>
      <c r="R270" s="1126"/>
      <c r="S270" s="1126"/>
      <c r="T270" s="1126"/>
      <c r="U270" s="1126"/>
      <c r="V270" s="1126"/>
      <c r="W270" s="1126"/>
      <c r="X270" s="1126"/>
      <c r="Y270" s="1126"/>
      <c r="Z270" s="1126"/>
      <c r="AA270" s="1126"/>
    </row>
    <row r="271" ht="15.75" customHeight="1">
      <c r="A271" s="1126"/>
      <c r="B271" s="1126"/>
      <c r="C271" s="1126"/>
      <c r="D271" s="1126"/>
      <c r="E271" s="1126"/>
      <c r="F271" s="1126"/>
      <c r="G271" s="1126"/>
      <c r="H271" s="1126"/>
      <c r="I271" s="1126"/>
      <c r="J271" s="1126"/>
      <c r="K271" s="1126"/>
      <c r="L271" s="1126"/>
      <c r="M271" s="1126"/>
      <c r="N271" s="1126"/>
      <c r="O271" s="1126"/>
      <c r="P271" s="1126"/>
      <c r="Q271" s="1126"/>
      <c r="R271" s="1126"/>
      <c r="S271" s="1126"/>
      <c r="T271" s="1126"/>
      <c r="U271" s="1126"/>
      <c r="V271" s="1126"/>
      <c r="W271" s="1126"/>
      <c r="X271" s="1126"/>
      <c r="Y271" s="1126"/>
      <c r="Z271" s="1126"/>
      <c r="AA271" s="1126"/>
    </row>
    <row r="272" ht="15.75" customHeight="1">
      <c r="A272" s="1126"/>
      <c r="B272" s="1126"/>
      <c r="C272" s="1126"/>
      <c r="D272" s="1126"/>
      <c r="E272" s="1126"/>
      <c r="F272" s="1126"/>
      <c r="G272" s="1126"/>
      <c r="H272" s="1126"/>
      <c r="I272" s="1126"/>
      <c r="J272" s="1126"/>
      <c r="K272" s="1126"/>
      <c r="L272" s="1126"/>
      <c r="M272" s="1126"/>
      <c r="N272" s="1126"/>
      <c r="O272" s="1126"/>
      <c r="P272" s="1126"/>
      <c r="Q272" s="1126"/>
      <c r="R272" s="1126"/>
      <c r="S272" s="1126"/>
      <c r="T272" s="1126"/>
      <c r="U272" s="1126"/>
      <c r="V272" s="1126"/>
      <c r="W272" s="1126"/>
      <c r="X272" s="1126"/>
      <c r="Y272" s="1126"/>
      <c r="Z272" s="1126"/>
      <c r="AA272" s="1126"/>
    </row>
    <row r="273" ht="15.75" customHeight="1">
      <c r="A273" s="1126"/>
      <c r="B273" s="1126"/>
      <c r="C273" s="1126"/>
      <c r="D273" s="1126"/>
      <c r="E273" s="1126"/>
      <c r="F273" s="1126"/>
      <c r="G273" s="1126"/>
      <c r="H273" s="1126"/>
      <c r="I273" s="1126"/>
      <c r="J273" s="1126"/>
      <c r="K273" s="1126"/>
      <c r="L273" s="1126"/>
      <c r="M273" s="1126"/>
      <c r="N273" s="1126"/>
      <c r="O273" s="1126"/>
      <c r="P273" s="1126"/>
      <c r="Q273" s="1126"/>
      <c r="R273" s="1126"/>
      <c r="S273" s="1126"/>
      <c r="T273" s="1126"/>
      <c r="U273" s="1126"/>
      <c r="V273" s="1126"/>
      <c r="W273" s="1126"/>
      <c r="X273" s="1126"/>
      <c r="Y273" s="1126"/>
      <c r="Z273" s="1126"/>
      <c r="AA273" s="1126"/>
    </row>
    <row r="274" ht="15.75" customHeight="1">
      <c r="A274" s="1126"/>
      <c r="B274" s="1126"/>
      <c r="C274" s="1126"/>
      <c r="D274" s="1126"/>
      <c r="E274" s="1126"/>
      <c r="F274" s="1126"/>
      <c r="G274" s="1126"/>
      <c r="H274" s="1126"/>
      <c r="I274" s="1126"/>
      <c r="J274" s="1126"/>
      <c r="K274" s="1126"/>
      <c r="L274" s="1126"/>
      <c r="M274" s="1126"/>
      <c r="N274" s="1126"/>
      <c r="O274" s="1126"/>
      <c r="P274" s="1126"/>
      <c r="Q274" s="1126"/>
      <c r="R274" s="1126"/>
      <c r="S274" s="1126"/>
      <c r="T274" s="1126"/>
      <c r="U274" s="1126"/>
      <c r="V274" s="1126"/>
      <c r="W274" s="1126"/>
      <c r="X274" s="1126"/>
      <c r="Y274" s="1126"/>
      <c r="Z274" s="1126"/>
      <c r="AA274" s="1126"/>
    </row>
    <row r="275" ht="15.75" customHeight="1">
      <c r="A275" s="1126"/>
      <c r="B275" s="1126"/>
      <c r="C275" s="1126"/>
      <c r="D275" s="1126"/>
      <c r="E275" s="1126"/>
      <c r="F275" s="1126"/>
      <c r="G275" s="1126"/>
      <c r="H275" s="1126"/>
      <c r="I275" s="1126"/>
      <c r="J275" s="1126"/>
      <c r="K275" s="1126"/>
      <c r="L275" s="1126"/>
      <c r="M275" s="1126"/>
      <c r="N275" s="1126"/>
      <c r="O275" s="1126"/>
      <c r="P275" s="1126"/>
      <c r="Q275" s="1126"/>
      <c r="R275" s="1126"/>
      <c r="S275" s="1126"/>
      <c r="T275" s="1126"/>
      <c r="U275" s="1126"/>
      <c r="V275" s="1126"/>
      <c r="W275" s="1126"/>
      <c r="X275" s="1126"/>
      <c r="Y275" s="1126"/>
      <c r="Z275" s="1126"/>
      <c r="AA275" s="1126"/>
    </row>
    <row r="276" ht="15.75" customHeight="1">
      <c r="A276" s="1126"/>
      <c r="B276" s="1126"/>
      <c r="C276" s="1126"/>
      <c r="D276" s="1126"/>
      <c r="E276" s="1126"/>
      <c r="F276" s="1126"/>
      <c r="G276" s="1126"/>
      <c r="H276" s="1126"/>
      <c r="I276" s="1126"/>
      <c r="J276" s="1126"/>
      <c r="K276" s="1126"/>
      <c r="L276" s="1126"/>
      <c r="M276" s="1126"/>
      <c r="N276" s="1126"/>
      <c r="O276" s="1126"/>
      <c r="P276" s="1126"/>
      <c r="Q276" s="1126"/>
      <c r="R276" s="1126"/>
      <c r="S276" s="1126"/>
      <c r="T276" s="1126"/>
      <c r="U276" s="1126"/>
      <c r="V276" s="1126"/>
      <c r="W276" s="1126"/>
      <c r="X276" s="1126"/>
      <c r="Y276" s="1126"/>
      <c r="Z276" s="1126"/>
      <c r="AA276" s="1126"/>
    </row>
    <row r="277" ht="15.75" customHeight="1">
      <c r="A277" s="1126"/>
      <c r="B277" s="1126"/>
      <c r="C277" s="1126"/>
      <c r="D277" s="1126"/>
      <c r="E277" s="1126"/>
      <c r="F277" s="1126"/>
      <c r="G277" s="1126"/>
      <c r="H277" s="1126"/>
      <c r="I277" s="1126"/>
      <c r="J277" s="1126"/>
      <c r="K277" s="1126"/>
      <c r="L277" s="1126"/>
      <c r="M277" s="1126"/>
      <c r="N277" s="1126"/>
      <c r="O277" s="1126"/>
      <c r="P277" s="1126"/>
      <c r="Q277" s="1126"/>
      <c r="R277" s="1126"/>
      <c r="S277" s="1126"/>
      <c r="T277" s="1126"/>
      <c r="U277" s="1126"/>
      <c r="V277" s="1126"/>
      <c r="W277" s="1126"/>
      <c r="X277" s="1126"/>
      <c r="Y277" s="1126"/>
      <c r="Z277" s="1126"/>
      <c r="AA277" s="1126"/>
    </row>
    <row r="278" ht="15.75" customHeight="1">
      <c r="A278" s="1126"/>
      <c r="B278" s="1126"/>
      <c r="C278" s="1126"/>
      <c r="D278" s="1126"/>
      <c r="E278" s="1126"/>
      <c r="F278" s="1126"/>
      <c r="G278" s="1126"/>
      <c r="H278" s="1126"/>
      <c r="I278" s="1126"/>
      <c r="J278" s="1126"/>
      <c r="K278" s="1126"/>
      <c r="L278" s="1126"/>
      <c r="M278" s="1126"/>
      <c r="N278" s="1126"/>
      <c r="O278" s="1126"/>
      <c r="P278" s="1126"/>
      <c r="Q278" s="1126"/>
      <c r="R278" s="1126"/>
      <c r="S278" s="1126"/>
      <c r="T278" s="1126"/>
      <c r="U278" s="1126"/>
      <c r="V278" s="1126"/>
      <c r="W278" s="1126"/>
      <c r="X278" s="1126"/>
      <c r="Y278" s="1126"/>
      <c r="Z278" s="1126"/>
      <c r="AA278" s="1126"/>
    </row>
    <row r="279" ht="15.75" customHeight="1">
      <c r="A279" s="1126"/>
      <c r="B279" s="1126"/>
      <c r="C279" s="1126"/>
      <c r="D279" s="1126"/>
      <c r="E279" s="1126"/>
      <c r="F279" s="1126"/>
      <c r="G279" s="1126"/>
      <c r="H279" s="1126"/>
      <c r="I279" s="1126"/>
      <c r="J279" s="1126"/>
      <c r="K279" s="1126"/>
      <c r="L279" s="1126"/>
      <c r="M279" s="1126"/>
      <c r="N279" s="1126"/>
      <c r="O279" s="1126"/>
      <c r="P279" s="1126"/>
      <c r="Q279" s="1126"/>
      <c r="R279" s="1126"/>
      <c r="S279" s="1126"/>
      <c r="T279" s="1126"/>
      <c r="U279" s="1126"/>
      <c r="V279" s="1126"/>
      <c r="W279" s="1126"/>
      <c r="X279" s="1126"/>
      <c r="Y279" s="1126"/>
      <c r="Z279" s="1126"/>
      <c r="AA279" s="1126"/>
    </row>
    <row r="280" ht="15.75" customHeight="1">
      <c r="A280" s="1126"/>
      <c r="B280" s="1126"/>
      <c r="C280" s="1126"/>
      <c r="D280" s="1126"/>
      <c r="E280" s="1126"/>
      <c r="F280" s="1126"/>
      <c r="G280" s="1126"/>
      <c r="H280" s="1126"/>
      <c r="I280" s="1126"/>
      <c r="J280" s="1126"/>
      <c r="K280" s="1126"/>
      <c r="L280" s="1126"/>
      <c r="M280" s="1126"/>
      <c r="N280" s="1126"/>
      <c r="O280" s="1126"/>
      <c r="P280" s="1126"/>
      <c r="Q280" s="1126"/>
      <c r="R280" s="1126"/>
      <c r="S280" s="1126"/>
      <c r="T280" s="1126"/>
      <c r="U280" s="1126"/>
      <c r="V280" s="1126"/>
      <c r="W280" s="1126"/>
      <c r="X280" s="1126"/>
      <c r="Y280" s="1126"/>
      <c r="Z280" s="1126"/>
      <c r="AA280" s="1126"/>
    </row>
    <row r="281" ht="15.75" customHeight="1">
      <c r="A281" s="1126"/>
      <c r="B281" s="1126"/>
      <c r="C281" s="1126"/>
      <c r="D281" s="1126"/>
      <c r="E281" s="1126"/>
      <c r="F281" s="1126"/>
      <c r="G281" s="1126"/>
      <c r="H281" s="1126"/>
      <c r="I281" s="1126"/>
      <c r="J281" s="1126"/>
      <c r="K281" s="1126"/>
      <c r="L281" s="1126"/>
      <c r="M281" s="1126"/>
      <c r="N281" s="1126"/>
      <c r="O281" s="1126"/>
      <c r="P281" s="1126"/>
      <c r="Q281" s="1126"/>
      <c r="R281" s="1126"/>
      <c r="S281" s="1126"/>
      <c r="T281" s="1126"/>
      <c r="U281" s="1126"/>
      <c r="V281" s="1126"/>
      <c r="W281" s="1126"/>
      <c r="X281" s="1126"/>
      <c r="Y281" s="1126"/>
      <c r="Z281" s="1126"/>
      <c r="AA281" s="1126"/>
    </row>
    <row r="282" ht="15.75" customHeight="1">
      <c r="A282" s="1126"/>
      <c r="B282" s="1126"/>
      <c r="C282" s="1126"/>
      <c r="D282" s="1126"/>
      <c r="E282" s="1126"/>
      <c r="F282" s="1126"/>
      <c r="G282" s="1126"/>
      <c r="H282" s="1126"/>
      <c r="I282" s="1126"/>
      <c r="J282" s="1126"/>
      <c r="K282" s="1126"/>
      <c r="L282" s="1126"/>
      <c r="M282" s="1126"/>
      <c r="N282" s="1126"/>
      <c r="O282" s="1126"/>
      <c r="P282" s="1126"/>
      <c r="Q282" s="1126"/>
      <c r="R282" s="1126"/>
      <c r="S282" s="1126"/>
      <c r="T282" s="1126"/>
      <c r="U282" s="1126"/>
      <c r="V282" s="1126"/>
      <c r="W282" s="1126"/>
      <c r="X282" s="1126"/>
      <c r="Y282" s="1126"/>
      <c r="Z282" s="1126"/>
      <c r="AA282" s="1126"/>
    </row>
    <row r="283" ht="15.75" customHeight="1">
      <c r="A283" s="1126"/>
      <c r="B283" s="1126"/>
      <c r="C283" s="1126"/>
      <c r="D283" s="1126"/>
      <c r="E283" s="1126"/>
      <c r="F283" s="1126"/>
      <c r="G283" s="1126"/>
      <c r="H283" s="1126"/>
      <c r="I283" s="1126"/>
      <c r="J283" s="1126"/>
      <c r="K283" s="1126"/>
      <c r="L283" s="1126"/>
      <c r="M283" s="1126"/>
      <c r="N283" s="1126"/>
      <c r="O283" s="1126"/>
      <c r="P283" s="1126"/>
      <c r="Q283" s="1126"/>
      <c r="R283" s="1126"/>
      <c r="S283" s="1126"/>
      <c r="T283" s="1126"/>
      <c r="U283" s="1126"/>
      <c r="V283" s="1126"/>
      <c r="W283" s="1126"/>
      <c r="X283" s="1126"/>
      <c r="Y283" s="1126"/>
      <c r="Z283" s="1126"/>
      <c r="AA283" s="1126"/>
    </row>
    <row r="284" ht="15.75" customHeight="1">
      <c r="A284" s="1126"/>
      <c r="B284" s="1126"/>
      <c r="C284" s="1126"/>
      <c r="D284" s="1126"/>
      <c r="E284" s="1126"/>
      <c r="F284" s="1126"/>
      <c r="G284" s="1126"/>
      <c r="H284" s="1126"/>
      <c r="I284" s="1126"/>
      <c r="J284" s="1126"/>
      <c r="K284" s="1126"/>
      <c r="L284" s="1126"/>
      <c r="M284" s="1126"/>
      <c r="N284" s="1126"/>
      <c r="O284" s="1126"/>
      <c r="P284" s="1126"/>
      <c r="Q284" s="1126"/>
      <c r="R284" s="1126"/>
      <c r="S284" s="1126"/>
      <c r="T284" s="1126"/>
      <c r="U284" s="1126"/>
      <c r="V284" s="1126"/>
      <c r="W284" s="1126"/>
      <c r="X284" s="1126"/>
      <c r="Y284" s="1126"/>
      <c r="Z284" s="1126"/>
      <c r="AA284" s="1126"/>
    </row>
    <row r="285" ht="15.75" customHeight="1">
      <c r="A285" s="1126"/>
      <c r="B285" s="1126"/>
      <c r="C285" s="1126"/>
      <c r="D285" s="1126"/>
      <c r="E285" s="1126"/>
      <c r="F285" s="1126"/>
      <c r="G285" s="1126"/>
      <c r="H285" s="1126"/>
      <c r="I285" s="1126"/>
      <c r="J285" s="1126"/>
      <c r="K285" s="1126"/>
      <c r="L285" s="1126"/>
      <c r="M285" s="1126"/>
      <c r="N285" s="1126"/>
      <c r="O285" s="1126"/>
      <c r="P285" s="1126"/>
      <c r="Q285" s="1126"/>
      <c r="R285" s="1126"/>
      <c r="S285" s="1126"/>
      <c r="T285" s="1126"/>
      <c r="U285" s="1126"/>
      <c r="V285" s="1126"/>
      <c r="W285" s="1126"/>
      <c r="X285" s="1126"/>
      <c r="Y285" s="1126"/>
      <c r="Z285" s="1126"/>
      <c r="AA285" s="1126"/>
    </row>
    <row r="286" ht="15.75" customHeight="1">
      <c r="A286" s="1126"/>
      <c r="B286" s="1126"/>
      <c r="C286" s="1126"/>
      <c r="D286" s="1126"/>
      <c r="E286" s="1126"/>
      <c r="F286" s="1126"/>
      <c r="G286" s="1126"/>
      <c r="H286" s="1126"/>
      <c r="I286" s="1126"/>
      <c r="J286" s="1126"/>
      <c r="K286" s="1126"/>
      <c r="L286" s="1126"/>
      <c r="M286" s="1126"/>
      <c r="N286" s="1126"/>
      <c r="O286" s="1126"/>
      <c r="P286" s="1126"/>
      <c r="Q286" s="1126"/>
      <c r="R286" s="1126"/>
      <c r="S286" s="1126"/>
      <c r="T286" s="1126"/>
      <c r="U286" s="1126"/>
      <c r="V286" s="1126"/>
      <c r="W286" s="1126"/>
      <c r="X286" s="1126"/>
      <c r="Y286" s="1126"/>
      <c r="Z286" s="1126"/>
      <c r="AA286" s="1126"/>
    </row>
    <row r="287" ht="15.75" customHeight="1">
      <c r="A287" s="1126"/>
      <c r="B287" s="1126"/>
      <c r="C287" s="1126"/>
      <c r="D287" s="1126"/>
      <c r="E287" s="1126"/>
      <c r="F287" s="1126"/>
      <c r="G287" s="1126"/>
      <c r="H287" s="1126"/>
      <c r="I287" s="1126"/>
      <c r="J287" s="1126"/>
      <c r="K287" s="1126"/>
      <c r="L287" s="1126"/>
      <c r="M287" s="1126"/>
      <c r="N287" s="1126"/>
      <c r="O287" s="1126"/>
      <c r="P287" s="1126"/>
      <c r="Q287" s="1126"/>
      <c r="R287" s="1126"/>
      <c r="S287" s="1126"/>
      <c r="T287" s="1126"/>
      <c r="U287" s="1126"/>
      <c r="V287" s="1126"/>
      <c r="W287" s="1126"/>
      <c r="X287" s="1126"/>
      <c r="Y287" s="1126"/>
      <c r="Z287" s="1126"/>
      <c r="AA287" s="1126"/>
    </row>
    <row r="288" ht="15.75" customHeight="1">
      <c r="A288" s="1126"/>
      <c r="B288" s="1126"/>
      <c r="C288" s="1126"/>
      <c r="D288" s="1126"/>
      <c r="E288" s="1126"/>
      <c r="F288" s="1126"/>
      <c r="G288" s="1126"/>
      <c r="H288" s="1126"/>
      <c r="I288" s="1126"/>
      <c r="J288" s="1126"/>
      <c r="K288" s="1126"/>
      <c r="L288" s="1126"/>
      <c r="M288" s="1126"/>
      <c r="N288" s="1126"/>
      <c r="O288" s="1126"/>
      <c r="P288" s="1126"/>
      <c r="Q288" s="1126"/>
      <c r="R288" s="1126"/>
      <c r="S288" s="1126"/>
      <c r="T288" s="1126"/>
      <c r="U288" s="1126"/>
      <c r="V288" s="1126"/>
      <c r="W288" s="1126"/>
      <c r="X288" s="1126"/>
      <c r="Y288" s="1126"/>
      <c r="Z288" s="1126"/>
      <c r="AA288" s="1126"/>
    </row>
    <row r="289" ht="15.75" customHeight="1">
      <c r="A289" s="1126"/>
      <c r="B289" s="1126"/>
      <c r="C289" s="1126"/>
      <c r="D289" s="1126"/>
      <c r="E289" s="1126"/>
      <c r="F289" s="1126"/>
      <c r="G289" s="1126"/>
      <c r="H289" s="1126"/>
      <c r="I289" s="1126"/>
      <c r="J289" s="1126"/>
      <c r="K289" s="1126"/>
      <c r="L289" s="1126"/>
      <c r="M289" s="1126"/>
      <c r="N289" s="1126"/>
      <c r="O289" s="1126"/>
      <c r="P289" s="1126"/>
      <c r="Q289" s="1126"/>
      <c r="R289" s="1126"/>
      <c r="S289" s="1126"/>
      <c r="T289" s="1126"/>
      <c r="U289" s="1126"/>
      <c r="V289" s="1126"/>
      <c r="W289" s="1126"/>
      <c r="X289" s="1126"/>
      <c r="Y289" s="1126"/>
      <c r="Z289" s="1126"/>
      <c r="AA289" s="1126"/>
    </row>
    <row r="290" ht="15.75" customHeight="1">
      <c r="A290" s="1126"/>
      <c r="B290" s="1126"/>
      <c r="C290" s="1126"/>
      <c r="D290" s="1126"/>
      <c r="E290" s="1126"/>
      <c r="F290" s="1126"/>
      <c r="G290" s="1126"/>
      <c r="H290" s="1126"/>
      <c r="I290" s="1126"/>
      <c r="J290" s="1126"/>
      <c r="K290" s="1126"/>
      <c r="L290" s="1126"/>
      <c r="M290" s="1126"/>
      <c r="N290" s="1126"/>
      <c r="O290" s="1126"/>
      <c r="P290" s="1126"/>
      <c r="Q290" s="1126"/>
      <c r="R290" s="1126"/>
      <c r="S290" s="1126"/>
      <c r="T290" s="1126"/>
      <c r="U290" s="1126"/>
      <c r="V290" s="1126"/>
      <c r="W290" s="1126"/>
      <c r="X290" s="1126"/>
      <c r="Y290" s="1126"/>
      <c r="Z290" s="1126"/>
      <c r="AA290" s="1126"/>
    </row>
    <row r="291" ht="15.75" customHeight="1">
      <c r="A291" s="1126"/>
      <c r="B291" s="1126"/>
      <c r="C291" s="1126"/>
      <c r="D291" s="1126"/>
      <c r="E291" s="1126"/>
      <c r="F291" s="1126"/>
      <c r="G291" s="1126"/>
      <c r="H291" s="1126"/>
      <c r="I291" s="1126"/>
      <c r="J291" s="1126"/>
      <c r="K291" s="1126"/>
      <c r="L291" s="1126"/>
      <c r="M291" s="1126"/>
      <c r="N291" s="1126"/>
      <c r="O291" s="1126"/>
      <c r="P291" s="1126"/>
      <c r="Q291" s="1126"/>
      <c r="R291" s="1126"/>
      <c r="S291" s="1126"/>
      <c r="T291" s="1126"/>
      <c r="U291" s="1126"/>
      <c r="V291" s="1126"/>
      <c r="W291" s="1126"/>
      <c r="X291" s="1126"/>
      <c r="Y291" s="1126"/>
      <c r="Z291" s="1126"/>
      <c r="AA291" s="1126"/>
    </row>
    <row r="292" ht="15.75" customHeight="1">
      <c r="A292" s="1126"/>
      <c r="B292" s="1126"/>
      <c r="C292" s="1126"/>
      <c r="D292" s="1126"/>
      <c r="E292" s="1126"/>
      <c r="F292" s="1126"/>
      <c r="G292" s="1126"/>
      <c r="H292" s="1126"/>
      <c r="I292" s="1126"/>
      <c r="J292" s="1126"/>
      <c r="K292" s="1126"/>
      <c r="L292" s="1126"/>
      <c r="M292" s="1126"/>
      <c r="N292" s="1126"/>
      <c r="O292" s="1126"/>
      <c r="P292" s="1126"/>
      <c r="Q292" s="1126"/>
      <c r="R292" s="1126"/>
      <c r="S292" s="1126"/>
      <c r="T292" s="1126"/>
      <c r="U292" s="1126"/>
      <c r="V292" s="1126"/>
      <c r="W292" s="1126"/>
      <c r="X292" s="1126"/>
      <c r="Y292" s="1126"/>
      <c r="Z292" s="1126"/>
      <c r="AA292" s="1126"/>
    </row>
    <row r="293" ht="15.75" customHeight="1">
      <c r="A293" s="1126"/>
      <c r="B293" s="1126"/>
      <c r="C293" s="1126"/>
      <c r="D293" s="1126"/>
      <c r="E293" s="1126"/>
      <c r="F293" s="1126"/>
      <c r="G293" s="1126"/>
      <c r="H293" s="1126"/>
      <c r="I293" s="1126"/>
      <c r="J293" s="1126"/>
      <c r="K293" s="1126"/>
      <c r="L293" s="1126"/>
      <c r="M293" s="1126"/>
      <c r="N293" s="1126"/>
      <c r="O293" s="1126"/>
      <c r="P293" s="1126"/>
      <c r="Q293" s="1126"/>
      <c r="R293" s="1126"/>
      <c r="S293" s="1126"/>
      <c r="T293" s="1126"/>
      <c r="U293" s="1126"/>
      <c r="V293" s="1126"/>
      <c r="W293" s="1126"/>
      <c r="X293" s="1126"/>
      <c r="Y293" s="1126"/>
      <c r="Z293" s="1126"/>
      <c r="AA293" s="1126"/>
    </row>
    <row r="294" ht="15.75" customHeight="1">
      <c r="A294" s="1126"/>
      <c r="B294" s="1126"/>
      <c r="C294" s="1126"/>
      <c r="D294" s="1126"/>
      <c r="E294" s="1126"/>
      <c r="F294" s="1126"/>
      <c r="G294" s="1126"/>
      <c r="H294" s="1126"/>
      <c r="I294" s="1126"/>
      <c r="J294" s="1126"/>
      <c r="K294" s="1126"/>
      <c r="L294" s="1126"/>
      <c r="M294" s="1126"/>
      <c r="N294" s="1126"/>
      <c r="O294" s="1126"/>
      <c r="P294" s="1126"/>
      <c r="Q294" s="1126"/>
      <c r="R294" s="1126"/>
      <c r="S294" s="1126"/>
      <c r="T294" s="1126"/>
      <c r="U294" s="1126"/>
      <c r="V294" s="1126"/>
      <c r="W294" s="1126"/>
      <c r="X294" s="1126"/>
      <c r="Y294" s="1126"/>
      <c r="Z294" s="1126"/>
      <c r="AA294" s="1126"/>
    </row>
    <row r="295" ht="15.75" customHeight="1">
      <c r="A295" s="1126"/>
      <c r="B295" s="1126"/>
      <c r="C295" s="1126"/>
      <c r="D295" s="1126"/>
      <c r="E295" s="1126"/>
      <c r="F295" s="1126"/>
      <c r="G295" s="1126"/>
      <c r="H295" s="1126"/>
      <c r="I295" s="1126"/>
      <c r="J295" s="1126"/>
      <c r="K295" s="1126"/>
      <c r="L295" s="1126"/>
      <c r="M295" s="1126"/>
      <c r="N295" s="1126"/>
      <c r="O295" s="1126"/>
      <c r="P295" s="1126"/>
      <c r="Q295" s="1126"/>
      <c r="R295" s="1126"/>
      <c r="S295" s="1126"/>
      <c r="T295" s="1126"/>
      <c r="U295" s="1126"/>
      <c r="V295" s="1126"/>
      <c r="W295" s="1126"/>
      <c r="X295" s="1126"/>
      <c r="Y295" s="1126"/>
      <c r="Z295" s="1126"/>
      <c r="AA295" s="1126"/>
    </row>
    <row r="296" ht="15.75" customHeight="1">
      <c r="A296" s="1126"/>
      <c r="B296" s="1126"/>
      <c r="C296" s="1126"/>
      <c r="D296" s="1126"/>
      <c r="E296" s="1126"/>
      <c r="F296" s="1126"/>
      <c r="G296" s="1126"/>
      <c r="H296" s="1126"/>
      <c r="I296" s="1126"/>
      <c r="J296" s="1126"/>
      <c r="K296" s="1126"/>
      <c r="L296" s="1126"/>
      <c r="M296" s="1126"/>
      <c r="N296" s="1126"/>
      <c r="O296" s="1126"/>
      <c r="P296" s="1126"/>
      <c r="Q296" s="1126"/>
      <c r="R296" s="1126"/>
      <c r="S296" s="1126"/>
      <c r="T296" s="1126"/>
      <c r="U296" s="1126"/>
      <c r="V296" s="1126"/>
      <c r="W296" s="1126"/>
      <c r="X296" s="1126"/>
      <c r="Y296" s="1126"/>
      <c r="Z296" s="1126"/>
      <c r="AA296" s="1126"/>
    </row>
    <row r="297" ht="15.75" customHeight="1">
      <c r="A297" s="1126"/>
      <c r="B297" s="1126"/>
      <c r="C297" s="1126"/>
      <c r="D297" s="1126"/>
      <c r="E297" s="1126"/>
      <c r="F297" s="1126"/>
      <c r="G297" s="1126"/>
      <c r="H297" s="1126"/>
      <c r="I297" s="1126"/>
      <c r="J297" s="1126"/>
      <c r="K297" s="1126"/>
      <c r="L297" s="1126"/>
      <c r="M297" s="1126"/>
      <c r="N297" s="1126"/>
      <c r="O297" s="1126"/>
      <c r="P297" s="1126"/>
      <c r="Q297" s="1126"/>
      <c r="R297" s="1126"/>
      <c r="S297" s="1126"/>
      <c r="T297" s="1126"/>
      <c r="U297" s="1126"/>
      <c r="V297" s="1126"/>
      <c r="W297" s="1126"/>
      <c r="X297" s="1126"/>
      <c r="Y297" s="1126"/>
      <c r="Z297" s="1126"/>
      <c r="AA297" s="1126"/>
    </row>
    <row r="298" ht="15.75" customHeight="1">
      <c r="A298" s="1126"/>
      <c r="B298" s="1126"/>
      <c r="C298" s="1126"/>
      <c r="D298" s="1126"/>
      <c r="E298" s="1126"/>
      <c r="F298" s="1126"/>
      <c r="G298" s="1126"/>
      <c r="H298" s="1126"/>
      <c r="I298" s="1126"/>
      <c r="J298" s="1126"/>
      <c r="K298" s="1126"/>
      <c r="L298" s="1126"/>
      <c r="M298" s="1126"/>
      <c r="N298" s="1126"/>
      <c r="O298" s="1126"/>
      <c r="P298" s="1126"/>
      <c r="Q298" s="1126"/>
      <c r="R298" s="1126"/>
      <c r="S298" s="1126"/>
      <c r="T298" s="1126"/>
      <c r="U298" s="1126"/>
      <c r="V298" s="1126"/>
      <c r="W298" s="1126"/>
      <c r="X298" s="1126"/>
      <c r="Y298" s="1126"/>
      <c r="Z298" s="1126"/>
      <c r="AA298" s="1126"/>
    </row>
    <row r="299" ht="15.75" customHeight="1">
      <c r="A299" s="1126"/>
      <c r="B299" s="1126"/>
      <c r="C299" s="1126"/>
      <c r="D299" s="1126"/>
      <c r="E299" s="1126"/>
      <c r="F299" s="1126"/>
      <c r="G299" s="1126"/>
      <c r="H299" s="1126"/>
      <c r="I299" s="1126"/>
      <c r="J299" s="1126"/>
      <c r="K299" s="1126"/>
      <c r="L299" s="1126"/>
      <c r="M299" s="1126"/>
      <c r="N299" s="1126"/>
      <c r="O299" s="1126"/>
      <c r="P299" s="1126"/>
      <c r="Q299" s="1126"/>
      <c r="R299" s="1126"/>
      <c r="S299" s="1126"/>
      <c r="T299" s="1126"/>
      <c r="U299" s="1126"/>
      <c r="V299" s="1126"/>
      <c r="W299" s="1126"/>
      <c r="X299" s="1126"/>
      <c r="Y299" s="1126"/>
      <c r="Z299" s="1126"/>
      <c r="AA299" s="1126"/>
    </row>
    <row r="300" ht="15.75" customHeight="1">
      <c r="A300" s="1126"/>
      <c r="B300" s="1126"/>
      <c r="C300" s="1126"/>
      <c r="D300" s="1126"/>
      <c r="E300" s="1126"/>
      <c r="F300" s="1126"/>
      <c r="G300" s="1126"/>
      <c r="H300" s="1126"/>
      <c r="I300" s="1126"/>
      <c r="J300" s="1126"/>
      <c r="K300" s="1126"/>
      <c r="L300" s="1126"/>
      <c r="M300" s="1126"/>
      <c r="N300" s="1126"/>
      <c r="O300" s="1126"/>
      <c r="P300" s="1126"/>
      <c r="Q300" s="1126"/>
      <c r="R300" s="1126"/>
      <c r="S300" s="1126"/>
      <c r="T300" s="1126"/>
      <c r="U300" s="1126"/>
      <c r="V300" s="1126"/>
      <c r="W300" s="1126"/>
      <c r="X300" s="1126"/>
      <c r="Y300" s="1126"/>
      <c r="Z300" s="1126"/>
      <c r="AA300" s="1126"/>
    </row>
    <row r="301" ht="15.75" customHeight="1">
      <c r="A301" s="1126"/>
      <c r="B301" s="1126"/>
      <c r="C301" s="1126"/>
      <c r="D301" s="1126"/>
      <c r="E301" s="1126"/>
      <c r="F301" s="1126"/>
      <c r="G301" s="1126"/>
      <c r="H301" s="1126"/>
      <c r="I301" s="1126"/>
      <c r="J301" s="1126"/>
      <c r="K301" s="1126"/>
      <c r="L301" s="1126"/>
      <c r="M301" s="1126"/>
      <c r="N301" s="1126"/>
      <c r="O301" s="1126"/>
      <c r="P301" s="1126"/>
      <c r="Q301" s="1126"/>
      <c r="R301" s="1126"/>
      <c r="S301" s="1126"/>
      <c r="T301" s="1126"/>
      <c r="U301" s="1126"/>
      <c r="V301" s="1126"/>
      <c r="W301" s="1126"/>
      <c r="X301" s="1126"/>
      <c r="Y301" s="1126"/>
      <c r="Z301" s="1126"/>
      <c r="AA301" s="1126"/>
    </row>
    <row r="302" ht="15.75" customHeight="1">
      <c r="A302" s="1126"/>
      <c r="B302" s="1126"/>
      <c r="C302" s="1126"/>
      <c r="D302" s="1126"/>
      <c r="E302" s="1126"/>
      <c r="F302" s="1126"/>
      <c r="G302" s="1126"/>
      <c r="H302" s="1126"/>
      <c r="I302" s="1126"/>
      <c r="J302" s="1126"/>
      <c r="K302" s="1126"/>
      <c r="L302" s="1126"/>
      <c r="M302" s="1126"/>
      <c r="N302" s="1126"/>
      <c r="O302" s="1126"/>
      <c r="P302" s="1126"/>
      <c r="Q302" s="1126"/>
      <c r="R302" s="1126"/>
      <c r="S302" s="1126"/>
      <c r="T302" s="1126"/>
      <c r="U302" s="1126"/>
      <c r="V302" s="1126"/>
      <c r="W302" s="1126"/>
      <c r="X302" s="1126"/>
      <c r="Y302" s="1126"/>
      <c r="Z302" s="1126"/>
      <c r="AA302" s="1126"/>
    </row>
    <row r="303" ht="15.75" customHeight="1">
      <c r="A303" s="1126"/>
      <c r="B303" s="1126"/>
      <c r="C303" s="1126"/>
      <c r="D303" s="1126"/>
      <c r="E303" s="1126"/>
      <c r="F303" s="1126"/>
      <c r="G303" s="1126"/>
      <c r="H303" s="1126"/>
      <c r="I303" s="1126"/>
      <c r="J303" s="1126"/>
      <c r="K303" s="1126"/>
      <c r="L303" s="1126"/>
      <c r="M303" s="1126"/>
      <c r="N303" s="1126"/>
      <c r="O303" s="1126"/>
      <c r="P303" s="1126"/>
      <c r="Q303" s="1126"/>
      <c r="R303" s="1126"/>
      <c r="S303" s="1126"/>
      <c r="T303" s="1126"/>
      <c r="U303" s="1126"/>
      <c r="V303" s="1126"/>
      <c r="W303" s="1126"/>
      <c r="X303" s="1126"/>
      <c r="Y303" s="1126"/>
      <c r="Z303" s="1126"/>
      <c r="AA303" s="1126"/>
    </row>
    <row r="304" ht="15.75" customHeight="1">
      <c r="A304" s="1126"/>
      <c r="B304" s="1126"/>
      <c r="C304" s="1126"/>
      <c r="D304" s="1126"/>
      <c r="E304" s="1126"/>
      <c r="F304" s="1126"/>
      <c r="G304" s="1126"/>
      <c r="H304" s="1126"/>
      <c r="I304" s="1126"/>
      <c r="J304" s="1126"/>
      <c r="K304" s="1126"/>
      <c r="L304" s="1126"/>
      <c r="M304" s="1126"/>
      <c r="N304" s="1126"/>
      <c r="O304" s="1126"/>
      <c r="P304" s="1126"/>
      <c r="Q304" s="1126"/>
      <c r="R304" s="1126"/>
      <c r="S304" s="1126"/>
      <c r="T304" s="1126"/>
      <c r="U304" s="1126"/>
      <c r="V304" s="1126"/>
      <c r="W304" s="1126"/>
      <c r="X304" s="1126"/>
      <c r="Y304" s="1126"/>
      <c r="Z304" s="1126"/>
      <c r="AA304" s="1126"/>
    </row>
    <row r="305" ht="15.75" customHeight="1">
      <c r="A305" s="1126"/>
      <c r="B305" s="1126"/>
      <c r="C305" s="1126"/>
      <c r="D305" s="1126"/>
      <c r="E305" s="1126"/>
      <c r="F305" s="1126"/>
      <c r="G305" s="1126"/>
      <c r="H305" s="1126"/>
      <c r="I305" s="1126"/>
      <c r="J305" s="1126"/>
      <c r="K305" s="1126"/>
      <c r="L305" s="1126"/>
      <c r="M305" s="1126"/>
      <c r="N305" s="1126"/>
      <c r="O305" s="1126"/>
      <c r="P305" s="1126"/>
      <c r="Q305" s="1126"/>
      <c r="R305" s="1126"/>
      <c r="S305" s="1126"/>
      <c r="T305" s="1126"/>
      <c r="U305" s="1126"/>
      <c r="V305" s="1126"/>
      <c r="W305" s="1126"/>
      <c r="X305" s="1126"/>
      <c r="Y305" s="1126"/>
      <c r="Z305" s="1126"/>
      <c r="AA305" s="1126"/>
    </row>
    <row r="306" ht="15.75" customHeight="1">
      <c r="A306" s="1126"/>
      <c r="B306" s="1126"/>
      <c r="C306" s="1126"/>
      <c r="D306" s="1126"/>
      <c r="E306" s="1126"/>
      <c r="F306" s="1126"/>
      <c r="G306" s="1126"/>
      <c r="H306" s="1126"/>
      <c r="I306" s="1126"/>
      <c r="J306" s="1126"/>
      <c r="K306" s="1126"/>
      <c r="L306" s="1126"/>
      <c r="M306" s="1126"/>
      <c r="N306" s="1126"/>
      <c r="O306" s="1126"/>
      <c r="P306" s="1126"/>
      <c r="Q306" s="1126"/>
      <c r="R306" s="1126"/>
      <c r="S306" s="1126"/>
      <c r="T306" s="1126"/>
      <c r="U306" s="1126"/>
      <c r="V306" s="1126"/>
      <c r="W306" s="1126"/>
      <c r="X306" s="1126"/>
      <c r="Y306" s="1126"/>
      <c r="Z306" s="1126"/>
      <c r="AA306" s="1126"/>
    </row>
    <row r="307" ht="15.75" customHeight="1">
      <c r="A307" s="1126"/>
      <c r="B307" s="1126"/>
      <c r="C307" s="1126"/>
      <c r="D307" s="1126"/>
      <c r="E307" s="1126"/>
      <c r="F307" s="1126"/>
      <c r="G307" s="1126"/>
      <c r="H307" s="1126"/>
      <c r="I307" s="1126"/>
      <c r="J307" s="1126"/>
      <c r="K307" s="1126"/>
      <c r="L307" s="1126"/>
      <c r="M307" s="1126"/>
      <c r="N307" s="1126"/>
      <c r="O307" s="1126"/>
      <c r="P307" s="1126"/>
      <c r="Q307" s="1126"/>
      <c r="R307" s="1126"/>
      <c r="S307" s="1126"/>
      <c r="T307" s="1126"/>
      <c r="U307" s="1126"/>
      <c r="V307" s="1126"/>
      <c r="W307" s="1126"/>
      <c r="X307" s="1126"/>
      <c r="Y307" s="1126"/>
      <c r="Z307" s="1126"/>
      <c r="AA307" s="1126"/>
    </row>
    <row r="308" ht="15.75" customHeight="1">
      <c r="A308" s="1126"/>
      <c r="B308" s="1126"/>
      <c r="C308" s="1126"/>
      <c r="D308" s="1126"/>
      <c r="E308" s="1126"/>
      <c r="F308" s="1126"/>
      <c r="G308" s="1126"/>
      <c r="H308" s="1126"/>
      <c r="I308" s="1126"/>
      <c r="J308" s="1126"/>
      <c r="K308" s="1126"/>
      <c r="L308" s="1126"/>
      <c r="M308" s="1126"/>
      <c r="N308" s="1126"/>
      <c r="O308" s="1126"/>
      <c r="P308" s="1126"/>
      <c r="Q308" s="1126"/>
      <c r="R308" s="1126"/>
      <c r="S308" s="1126"/>
      <c r="T308" s="1126"/>
      <c r="U308" s="1126"/>
      <c r="V308" s="1126"/>
      <c r="W308" s="1126"/>
      <c r="X308" s="1126"/>
      <c r="Y308" s="1126"/>
      <c r="Z308" s="1126"/>
      <c r="AA308" s="1126"/>
    </row>
    <row r="309" ht="15.75" customHeight="1">
      <c r="A309" s="1126"/>
      <c r="B309" s="1126"/>
      <c r="C309" s="1126"/>
      <c r="D309" s="1126"/>
      <c r="E309" s="1126"/>
      <c r="F309" s="1126"/>
      <c r="G309" s="1126"/>
      <c r="H309" s="1126"/>
      <c r="I309" s="1126"/>
      <c r="J309" s="1126"/>
      <c r="K309" s="1126"/>
      <c r="L309" s="1126"/>
      <c r="M309" s="1126"/>
      <c r="N309" s="1126"/>
      <c r="O309" s="1126"/>
      <c r="P309" s="1126"/>
      <c r="Q309" s="1126"/>
      <c r="R309" s="1126"/>
      <c r="S309" s="1126"/>
      <c r="T309" s="1126"/>
      <c r="U309" s="1126"/>
      <c r="V309" s="1126"/>
      <c r="W309" s="1126"/>
      <c r="X309" s="1126"/>
      <c r="Y309" s="1126"/>
      <c r="Z309" s="1126"/>
      <c r="AA309" s="1126"/>
    </row>
    <row r="310" ht="15.75" customHeight="1">
      <c r="A310" s="1126"/>
      <c r="B310" s="1126"/>
      <c r="C310" s="1126"/>
      <c r="D310" s="1126"/>
      <c r="E310" s="1126"/>
      <c r="F310" s="1126"/>
      <c r="G310" s="1126"/>
      <c r="H310" s="1126"/>
      <c r="I310" s="1126"/>
      <c r="J310" s="1126"/>
      <c r="K310" s="1126"/>
      <c r="L310" s="1126"/>
      <c r="M310" s="1126"/>
      <c r="N310" s="1126"/>
      <c r="O310" s="1126"/>
      <c r="P310" s="1126"/>
      <c r="Q310" s="1126"/>
      <c r="R310" s="1126"/>
      <c r="S310" s="1126"/>
      <c r="T310" s="1126"/>
      <c r="U310" s="1126"/>
      <c r="V310" s="1126"/>
      <c r="W310" s="1126"/>
      <c r="X310" s="1126"/>
      <c r="Y310" s="1126"/>
      <c r="Z310" s="1126"/>
      <c r="AA310" s="1126"/>
    </row>
    <row r="311" ht="15.75" customHeight="1">
      <c r="A311" s="1126"/>
      <c r="B311" s="1126"/>
      <c r="C311" s="1126"/>
      <c r="D311" s="1126"/>
      <c r="E311" s="1126"/>
      <c r="F311" s="1126"/>
      <c r="G311" s="1126"/>
      <c r="H311" s="1126"/>
      <c r="I311" s="1126"/>
      <c r="J311" s="1126"/>
      <c r="K311" s="1126"/>
      <c r="L311" s="1126"/>
      <c r="M311" s="1126"/>
      <c r="N311" s="1126"/>
      <c r="O311" s="1126"/>
      <c r="P311" s="1126"/>
      <c r="Q311" s="1126"/>
      <c r="R311" s="1126"/>
      <c r="S311" s="1126"/>
      <c r="T311" s="1126"/>
      <c r="U311" s="1126"/>
      <c r="V311" s="1126"/>
      <c r="W311" s="1126"/>
      <c r="X311" s="1126"/>
      <c r="Y311" s="1126"/>
      <c r="Z311" s="1126"/>
      <c r="AA311" s="1126"/>
    </row>
    <row r="312" ht="15.75" customHeight="1">
      <c r="A312" s="1126"/>
      <c r="B312" s="1126"/>
      <c r="C312" s="1126"/>
      <c r="D312" s="1126"/>
      <c r="E312" s="1126"/>
      <c r="F312" s="1126"/>
      <c r="G312" s="1126"/>
      <c r="H312" s="1126"/>
      <c r="I312" s="1126"/>
      <c r="J312" s="1126"/>
      <c r="K312" s="1126"/>
      <c r="L312" s="1126"/>
      <c r="M312" s="1126"/>
      <c r="N312" s="1126"/>
      <c r="O312" s="1126"/>
      <c r="P312" s="1126"/>
      <c r="Q312" s="1126"/>
      <c r="R312" s="1126"/>
      <c r="S312" s="1126"/>
      <c r="T312" s="1126"/>
      <c r="U312" s="1126"/>
      <c r="V312" s="1126"/>
      <c r="W312" s="1126"/>
      <c r="X312" s="1126"/>
      <c r="Y312" s="1126"/>
      <c r="Z312" s="1126"/>
      <c r="AA312" s="1126"/>
    </row>
    <row r="313" ht="15.75" customHeight="1">
      <c r="A313" s="1126"/>
      <c r="B313" s="1126"/>
      <c r="C313" s="1126"/>
      <c r="D313" s="1126"/>
      <c r="E313" s="1126"/>
      <c r="F313" s="1126"/>
      <c r="G313" s="1126"/>
      <c r="H313" s="1126"/>
      <c r="I313" s="1126"/>
      <c r="J313" s="1126"/>
      <c r="K313" s="1126"/>
      <c r="L313" s="1126"/>
      <c r="M313" s="1126"/>
      <c r="N313" s="1126"/>
      <c r="O313" s="1126"/>
      <c r="P313" s="1126"/>
      <c r="Q313" s="1126"/>
      <c r="R313" s="1126"/>
      <c r="S313" s="1126"/>
      <c r="T313" s="1126"/>
      <c r="U313" s="1126"/>
      <c r="V313" s="1126"/>
      <c r="W313" s="1126"/>
      <c r="X313" s="1126"/>
      <c r="Y313" s="1126"/>
      <c r="Z313" s="1126"/>
      <c r="AA313" s="1126"/>
    </row>
    <row r="314" ht="15.75" customHeight="1">
      <c r="A314" s="1126"/>
      <c r="B314" s="1126"/>
      <c r="C314" s="1126"/>
      <c r="D314" s="1126"/>
      <c r="E314" s="1126"/>
      <c r="F314" s="1126"/>
      <c r="G314" s="1126"/>
      <c r="H314" s="1126"/>
      <c r="I314" s="1126"/>
      <c r="J314" s="1126"/>
      <c r="K314" s="1126"/>
      <c r="L314" s="1126"/>
      <c r="M314" s="1126"/>
      <c r="N314" s="1126"/>
      <c r="O314" s="1126"/>
      <c r="P314" s="1126"/>
      <c r="Q314" s="1126"/>
      <c r="R314" s="1126"/>
      <c r="S314" s="1126"/>
      <c r="T314" s="1126"/>
      <c r="U314" s="1126"/>
      <c r="V314" s="1126"/>
      <c r="W314" s="1126"/>
      <c r="X314" s="1126"/>
      <c r="Y314" s="1126"/>
      <c r="Z314" s="1126"/>
      <c r="AA314" s="1126"/>
    </row>
    <row r="315" ht="15.75" customHeight="1">
      <c r="A315" s="1126"/>
      <c r="B315" s="1126"/>
      <c r="C315" s="1126"/>
      <c r="D315" s="1126"/>
      <c r="E315" s="1126"/>
      <c r="F315" s="1126"/>
      <c r="G315" s="1126"/>
      <c r="H315" s="1126"/>
      <c r="I315" s="1126"/>
      <c r="J315" s="1126"/>
      <c r="K315" s="1126"/>
      <c r="L315" s="1126"/>
      <c r="M315" s="1126"/>
      <c r="N315" s="1126"/>
      <c r="O315" s="1126"/>
      <c r="P315" s="1126"/>
      <c r="Q315" s="1126"/>
      <c r="R315" s="1126"/>
      <c r="S315" s="1126"/>
      <c r="T315" s="1126"/>
      <c r="U315" s="1126"/>
      <c r="V315" s="1126"/>
      <c r="W315" s="1126"/>
      <c r="X315" s="1126"/>
      <c r="Y315" s="1126"/>
      <c r="Z315" s="1126"/>
      <c r="AA315" s="1126"/>
    </row>
    <row r="316" ht="15.75" customHeight="1">
      <c r="A316" s="1126"/>
      <c r="B316" s="1126"/>
      <c r="C316" s="1126"/>
      <c r="D316" s="1126"/>
      <c r="E316" s="1126"/>
      <c r="F316" s="1126"/>
      <c r="G316" s="1126"/>
      <c r="H316" s="1126"/>
      <c r="I316" s="1126"/>
      <c r="J316" s="1126"/>
      <c r="K316" s="1126"/>
      <c r="L316" s="1126"/>
      <c r="M316" s="1126"/>
      <c r="N316" s="1126"/>
      <c r="O316" s="1126"/>
      <c r="P316" s="1126"/>
      <c r="Q316" s="1126"/>
      <c r="R316" s="1126"/>
      <c r="S316" s="1126"/>
      <c r="T316" s="1126"/>
      <c r="U316" s="1126"/>
      <c r="V316" s="1126"/>
      <c r="W316" s="1126"/>
      <c r="X316" s="1126"/>
      <c r="Y316" s="1126"/>
      <c r="Z316" s="1126"/>
      <c r="AA316" s="1126"/>
    </row>
    <row r="317" ht="15.75" customHeight="1">
      <c r="A317" s="1126"/>
      <c r="B317" s="1126"/>
      <c r="C317" s="1126"/>
      <c r="D317" s="1126"/>
      <c r="E317" s="1126"/>
      <c r="F317" s="1126"/>
      <c r="G317" s="1126"/>
      <c r="H317" s="1126"/>
      <c r="I317" s="1126"/>
      <c r="J317" s="1126"/>
      <c r="K317" s="1126"/>
      <c r="L317" s="1126"/>
      <c r="M317" s="1126"/>
      <c r="N317" s="1126"/>
      <c r="O317" s="1126"/>
      <c r="P317" s="1126"/>
      <c r="Q317" s="1126"/>
      <c r="R317" s="1126"/>
      <c r="S317" s="1126"/>
      <c r="T317" s="1126"/>
      <c r="U317" s="1126"/>
      <c r="V317" s="1126"/>
      <c r="W317" s="1126"/>
      <c r="X317" s="1126"/>
      <c r="Y317" s="1126"/>
      <c r="Z317" s="1126"/>
      <c r="AA317" s="1126"/>
    </row>
    <row r="318" ht="15.75" customHeight="1">
      <c r="A318" s="1126"/>
      <c r="B318" s="1126"/>
      <c r="C318" s="1126"/>
      <c r="D318" s="1126"/>
      <c r="E318" s="1126"/>
      <c r="F318" s="1126"/>
      <c r="G318" s="1126"/>
      <c r="H318" s="1126"/>
      <c r="I318" s="1126"/>
      <c r="J318" s="1126"/>
      <c r="K318" s="1126"/>
      <c r="L318" s="1126"/>
      <c r="M318" s="1126"/>
      <c r="N318" s="1126"/>
      <c r="O318" s="1126"/>
      <c r="P318" s="1126"/>
      <c r="Q318" s="1126"/>
      <c r="R318" s="1126"/>
      <c r="S318" s="1126"/>
      <c r="T318" s="1126"/>
      <c r="U318" s="1126"/>
      <c r="V318" s="1126"/>
      <c r="W318" s="1126"/>
      <c r="X318" s="1126"/>
      <c r="Y318" s="1126"/>
      <c r="Z318" s="1126"/>
      <c r="AA318" s="1126"/>
    </row>
    <row r="319" ht="15.75" customHeight="1">
      <c r="A319" s="1126"/>
      <c r="B319" s="1126"/>
      <c r="C319" s="1126"/>
      <c r="D319" s="1126"/>
      <c r="E319" s="1126"/>
      <c r="F319" s="1126"/>
      <c r="G319" s="1126"/>
      <c r="H319" s="1126"/>
      <c r="I319" s="1126"/>
      <c r="J319" s="1126"/>
      <c r="K319" s="1126"/>
      <c r="L319" s="1126"/>
      <c r="M319" s="1126"/>
      <c r="N319" s="1126"/>
      <c r="O319" s="1126"/>
      <c r="P319" s="1126"/>
      <c r="Q319" s="1126"/>
      <c r="R319" s="1126"/>
      <c r="S319" s="1126"/>
      <c r="T319" s="1126"/>
      <c r="U319" s="1126"/>
      <c r="V319" s="1126"/>
      <c r="W319" s="1126"/>
      <c r="X319" s="1126"/>
      <c r="Y319" s="1126"/>
      <c r="Z319" s="1126"/>
      <c r="AA319" s="1126"/>
    </row>
    <row r="320" ht="15.75" customHeight="1">
      <c r="A320" s="1126"/>
      <c r="B320" s="1126"/>
      <c r="C320" s="1126"/>
      <c r="D320" s="1126"/>
      <c r="E320" s="1126"/>
      <c r="F320" s="1126"/>
      <c r="G320" s="1126"/>
      <c r="H320" s="1126"/>
      <c r="I320" s="1126"/>
      <c r="J320" s="1126"/>
      <c r="K320" s="1126"/>
      <c r="L320" s="1126"/>
      <c r="M320" s="1126"/>
      <c r="N320" s="1126"/>
      <c r="O320" s="1126"/>
      <c r="P320" s="1126"/>
      <c r="Q320" s="1126"/>
      <c r="R320" s="1126"/>
      <c r="S320" s="1126"/>
      <c r="T320" s="1126"/>
      <c r="U320" s="1126"/>
      <c r="V320" s="1126"/>
      <c r="W320" s="1126"/>
      <c r="X320" s="1126"/>
      <c r="Y320" s="1126"/>
      <c r="Z320" s="1126"/>
      <c r="AA320" s="1126"/>
    </row>
    <row r="321" ht="15.75" customHeight="1">
      <c r="A321" s="1126"/>
      <c r="B321" s="1126"/>
      <c r="C321" s="1126"/>
      <c r="D321" s="1126"/>
      <c r="E321" s="1126"/>
      <c r="F321" s="1126"/>
      <c r="G321" s="1126"/>
      <c r="H321" s="1126"/>
      <c r="I321" s="1126"/>
      <c r="J321" s="1126"/>
      <c r="K321" s="1126"/>
      <c r="L321" s="1126"/>
      <c r="M321" s="1126"/>
      <c r="N321" s="1126"/>
      <c r="O321" s="1126"/>
      <c r="P321" s="1126"/>
      <c r="Q321" s="1126"/>
      <c r="R321" s="1126"/>
      <c r="S321" s="1126"/>
      <c r="T321" s="1126"/>
      <c r="U321" s="1126"/>
      <c r="V321" s="1126"/>
      <c r="W321" s="1126"/>
      <c r="X321" s="1126"/>
      <c r="Y321" s="1126"/>
      <c r="Z321" s="1126"/>
      <c r="AA321" s="1126"/>
    </row>
    <row r="322" ht="15.75" customHeight="1">
      <c r="A322" s="1126"/>
      <c r="B322" s="1126"/>
      <c r="C322" s="1126"/>
      <c r="D322" s="1126"/>
      <c r="E322" s="1126"/>
      <c r="F322" s="1126"/>
      <c r="G322" s="1126"/>
      <c r="H322" s="1126"/>
      <c r="I322" s="1126"/>
      <c r="J322" s="1126"/>
      <c r="K322" s="1126"/>
      <c r="L322" s="1126"/>
      <c r="M322" s="1126"/>
      <c r="N322" s="1126"/>
      <c r="O322" s="1126"/>
      <c r="P322" s="1126"/>
      <c r="Q322" s="1126"/>
      <c r="R322" s="1126"/>
      <c r="S322" s="1126"/>
      <c r="T322" s="1126"/>
      <c r="U322" s="1126"/>
      <c r="V322" s="1126"/>
      <c r="W322" s="1126"/>
      <c r="X322" s="1126"/>
      <c r="Y322" s="1126"/>
      <c r="Z322" s="1126"/>
      <c r="AA322" s="1126"/>
    </row>
    <row r="323" ht="15.75" customHeight="1">
      <c r="A323" s="1126"/>
      <c r="B323" s="1126"/>
      <c r="C323" s="1126"/>
      <c r="D323" s="1126"/>
      <c r="E323" s="1126"/>
      <c r="F323" s="1126"/>
      <c r="G323" s="1126"/>
      <c r="H323" s="1126"/>
      <c r="I323" s="1126"/>
      <c r="J323" s="1126"/>
      <c r="K323" s="1126"/>
      <c r="L323" s="1126"/>
      <c r="M323" s="1126"/>
      <c r="N323" s="1126"/>
      <c r="O323" s="1126"/>
      <c r="P323" s="1126"/>
      <c r="Q323" s="1126"/>
      <c r="R323" s="1126"/>
      <c r="S323" s="1126"/>
      <c r="T323" s="1126"/>
      <c r="U323" s="1126"/>
      <c r="V323" s="1126"/>
      <c r="W323" s="1126"/>
      <c r="X323" s="1126"/>
      <c r="Y323" s="1126"/>
      <c r="Z323" s="1126"/>
      <c r="AA323" s="1126"/>
    </row>
    <row r="324" ht="15.75" customHeight="1">
      <c r="A324" s="1126"/>
      <c r="B324" s="1126"/>
      <c r="C324" s="1126"/>
      <c r="D324" s="1126"/>
      <c r="E324" s="1126"/>
      <c r="F324" s="1126"/>
      <c r="G324" s="1126"/>
      <c r="H324" s="1126"/>
      <c r="I324" s="1126"/>
      <c r="J324" s="1126"/>
      <c r="K324" s="1126"/>
      <c r="L324" s="1126"/>
      <c r="M324" s="1126"/>
      <c r="N324" s="1126"/>
      <c r="O324" s="1126"/>
      <c r="P324" s="1126"/>
      <c r="Q324" s="1126"/>
      <c r="R324" s="1126"/>
      <c r="S324" s="1126"/>
      <c r="T324" s="1126"/>
      <c r="U324" s="1126"/>
      <c r="V324" s="1126"/>
      <c r="W324" s="1126"/>
      <c r="X324" s="1126"/>
      <c r="Y324" s="1126"/>
      <c r="Z324" s="1126"/>
      <c r="AA324" s="1126"/>
    </row>
    <row r="325" ht="15.75" customHeight="1">
      <c r="A325" s="1126"/>
      <c r="B325" s="1126"/>
      <c r="C325" s="1126"/>
      <c r="D325" s="1126"/>
      <c r="E325" s="1126"/>
      <c r="F325" s="1126"/>
      <c r="G325" s="1126"/>
      <c r="H325" s="1126"/>
      <c r="I325" s="1126"/>
      <c r="J325" s="1126"/>
      <c r="K325" s="1126"/>
      <c r="L325" s="1126"/>
      <c r="M325" s="1126"/>
      <c r="N325" s="1126"/>
      <c r="O325" s="1126"/>
      <c r="P325" s="1126"/>
      <c r="Q325" s="1126"/>
      <c r="R325" s="1126"/>
      <c r="S325" s="1126"/>
      <c r="T325" s="1126"/>
      <c r="U325" s="1126"/>
      <c r="V325" s="1126"/>
      <c r="W325" s="1126"/>
      <c r="X325" s="1126"/>
      <c r="Y325" s="1126"/>
      <c r="Z325" s="1126"/>
      <c r="AA325" s="1126"/>
    </row>
    <row r="326" ht="15.75" customHeight="1">
      <c r="A326" s="1126"/>
      <c r="B326" s="1126"/>
      <c r="C326" s="1126"/>
      <c r="D326" s="1126"/>
      <c r="E326" s="1126"/>
      <c r="F326" s="1126"/>
      <c r="G326" s="1126"/>
      <c r="H326" s="1126"/>
      <c r="I326" s="1126"/>
      <c r="J326" s="1126"/>
      <c r="K326" s="1126"/>
      <c r="L326" s="1126"/>
      <c r="M326" s="1126"/>
      <c r="N326" s="1126"/>
      <c r="O326" s="1126"/>
      <c r="P326" s="1126"/>
      <c r="Q326" s="1126"/>
      <c r="R326" s="1126"/>
      <c r="S326" s="1126"/>
      <c r="T326" s="1126"/>
      <c r="U326" s="1126"/>
      <c r="V326" s="1126"/>
      <c r="W326" s="1126"/>
      <c r="X326" s="1126"/>
      <c r="Y326" s="1126"/>
      <c r="Z326" s="1126"/>
      <c r="AA326" s="1126"/>
    </row>
    <row r="327" ht="15.75" customHeight="1">
      <c r="A327" s="1126"/>
      <c r="B327" s="1126"/>
      <c r="C327" s="1126"/>
      <c r="D327" s="1126"/>
      <c r="E327" s="1126"/>
      <c r="F327" s="1126"/>
      <c r="G327" s="1126"/>
      <c r="H327" s="1126"/>
      <c r="I327" s="1126"/>
      <c r="J327" s="1126"/>
      <c r="K327" s="1126"/>
      <c r="L327" s="1126"/>
      <c r="M327" s="1126"/>
      <c r="N327" s="1126"/>
      <c r="O327" s="1126"/>
      <c r="P327" s="1126"/>
      <c r="Q327" s="1126"/>
      <c r="R327" s="1126"/>
      <c r="S327" s="1126"/>
      <c r="T327" s="1126"/>
      <c r="U327" s="1126"/>
      <c r="V327" s="1126"/>
      <c r="W327" s="1126"/>
      <c r="X327" s="1126"/>
      <c r="Y327" s="1126"/>
      <c r="Z327" s="1126"/>
      <c r="AA327" s="1126"/>
    </row>
    <row r="328" ht="15.75" customHeight="1">
      <c r="A328" s="1126"/>
      <c r="B328" s="1126"/>
      <c r="C328" s="1126"/>
      <c r="D328" s="1126"/>
      <c r="E328" s="1126"/>
      <c r="F328" s="1126"/>
      <c r="G328" s="1126"/>
      <c r="H328" s="1126"/>
      <c r="I328" s="1126"/>
      <c r="J328" s="1126"/>
      <c r="K328" s="1126"/>
      <c r="L328" s="1126"/>
      <c r="M328" s="1126"/>
      <c r="N328" s="1126"/>
      <c r="O328" s="1126"/>
      <c r="P328" s="1126"/>
      <c r="Q328" s="1126"/>
      <c r="R328" s="1126"/>
      <c r="S328" s="1126"/>
      <c r="T328" s="1126"/>
      <c r="U328" s="1126"/>
      <c r="V328" s="1126"/>
      <c r="W328" s="1126"/>
      <c r="X328" s="1126"/>
      <c r="Y328" s="1126"/>
      <c r="Z328" s="1126"/>
      <c r="AA328" s="1126"/>
    </row>
    <row r="329" ht="15.75" customHeight="1">
      <c r="A329" s="1126"/>
      <c r="B329" s="1126"/>
      <c r="C329" s="1126"/>
      <c r="D329" s="1126"/>
      <c r="E329" s="1126"/>
      <c r="F329" s="1126"/>
      <c r="G329" s="1126"/>
      <c r="H329" s="1126"/>
      <c r="I329" s="1126"/>
      <c r="J329" s="1126"/>
      <c r="K329" s="1126"/>
      <c r="L329" s="1126"/>
      <c r="M329" s="1126"/>
      <c r="N329" s="1126"/>
      <c r="O329" s="1126"/>
      <c r="P329" s="1126"/>
      <c r="Q329" s="1126"/>
      <c r="R329" s="1126"/>
      <c r="S329" s="1126"/>
      <c r="T329" s="1126"/>
      <c r="U329" s="1126"/>
      <c r="V329" s="1126"/>
      <c r="W329" s="1126"/>
      <c r="X329" s="1126"/>
      <c r="Y329" s="1126"/>
      <c r="Z329" s="1126"/>
      <c r="AA329" s="1126"/>
    </row>
    <row r="330" ht="15.75" customHeight="1">
      <c r="A330" s="1126"/>
      <c r="B330" s="1126"/>
      <c r="C330" s="1126"/>
      <c r="D330" s="1126"/>
      <c r="E330" s="1126"/>
      <c r="F330" s="1126"/>
      <c r="G330" s="1126"/>
      <c r="H330" s="1126"/>
      <c r="I330" s="1126"/>
      <c r="J330" s="1126"/>
      <c r="K330" s="1126"/>
      <c r="L330" s="1126"/>
      <c r="M330" s="1126"/>
      <c r="N330" s="1126"/>
      <c r="O330" s="1126"/>
      <c r="P330" s="1126"/>
      <c r="Q330" s="1126"/>
      <c r="R330" s="1126"/>
      <c r="S330" s="1126"/>
      <c r="T330" s="1126"/>
      <c r="U330" s="1126"/>
      <c r="V330" s="1126"/>
      <c r="W330" s="1126"/>
      <c r="X330" s="1126"/>
      <c r="Y330" s="1126"/>
      <c r="Z330" s="1126"/>
      <c r="AA330" s="1126"/>
    </row>
    <row r="331" ht="15.75" customHeight="1">
      <c r="A331" s="1126"/>
      <c r="B331" s="1126"/>
      <c r="C331" s="1126"/>
      <c r="D331" s="1126"/>
      <c r="E331" s="1126"/>
      <c r="F331" s="1126"/>
      <c r="G331" s="1126"/>
      <c r="H331" s="1126"/>
      <c r="I331" s="1126"/>
      <c r="J331" s="1126"/>
      <c r="K331" s="1126"/>
      <c r="L331" s="1126"/>
      <c r="M331" s="1126"/>
      <c r="N331" s="1126"/>
      <c r="O331" s="1126"/>
      <c r="P331" s="1126"/>
      <c r="Q331" s="1126"/>
      <c r="R331" s="1126"/>
      <c r="S331" s="1126"/>
      <c r="T331" s="1126"/>
      <c r="U331" s="1126"/>
      <c r="V331" s="1126"/>
      <c r="W331" s="1126"/>
      <c r="X331" s="1126"/>
      <c r="Y331" s="1126"/>
      <c r="Z331" s="1126"/>
      <c r="AA331" s="1126"/>
    </row>
    <row r="332" ht="15.75" customHeight="1">
      <c r="A332" s="1126"/>
      <c r="B332" s="1126"/>
      <c r="C332" s="1126"/>
      <c r="D332" s="1126"/>
      <c r="E332" s="1126"/>
      <c r="F332" s="1126"/>
      <c r="G332" s="1126"/>
      <c r="H332" s="1126"/>
      <c r="I332" s="1126"/>
      <c r="J332" s="1126"/>
      <c r="K332" s="1126"/>
      <c r="L332" s="1126"/>
      <c r="M332" s="1126"/>
      <c r="N332" s="1126"/>
      <c r="O332" s="1126"/>
      <c r="P332" s="1126"/>
      <c r="Q332" s="1126"/>
      <c r="R332" s="1126"/>
      <c r="S332" s="1126"/>
      <c r="T332" s="1126"/>
      <c r="U332" s="1126"/>
      <c r="V332" s="1126"/>
      <c r="W332" s="1126"/>
      <c r="X332" s="1126"/>
      <c r="Y332" s="1126"/>
      <c r="Z332" s="1126"/>
      <c r="AA332" s="1126"/>
    </row>
    <row r="333" ht="15.75" customHeight="1">
      <c r="A333" s="1126"/>
      <c r="B333" s="1126"/>
      <c r="C333" s="1126"/>
      <c r="D333" s="1126"/>
      <c r="E333" s="1126"/>
      <c r="F333" s="1126"/>
      <c r="G333" s="1126"/>
      <c r="H333" s="1126"/>
      <c r="I333" s="1126"/>
      <c r="J333" s="1126"/>
      <c r="K333" s="1126"/>
      <c r="L333" s="1126"/>
      <c r="M333" s="1126"/>
      <c r="N333" s="1126"/>
      <c r="O333" s="1126"/>
      <c r="P333" s="1126"/>
      <c r="Q333" s="1126"/>
      <c r="R333" s="1126"/>
      <c r="S333" s="1126"/>
      <c r="T333" s="1126"/>
      <c r="U333" s="1126"/>
      <c r="V333" s="1126"/>
      <c r="W333" s="1126"/>
      <c r="X333" s="1126"/>
      <c r="Y333" s="1126"/>
      <c r="Z333" s="1126"/>
      <c r="AA333" s="1126"/>
    </row>
    <row r="334" ht="15.75" customHeight="1">
      <c r="A334" s="1126"/>
      <c r="B334" s="1126"/>
      <c r="C334" s="1126"/>
      <c r="D334" s="1126"/>
      <c r="E334" s="1126"/>
      <c r="F334" s="1126"/>
      <c r="G334" s="1126"/>
      <c r="H334" s="1126"/>
      <c r="I334" s="1126"/>
      <c r="J334" s="1126"/>
      <c r="K334" s="1126"/>
      <c r="L334" s="1126"/>
      <c r="M334" s="1126"/>
      <c r="N334" s="1126"/>
      <c r="O334" s="1126"/>
      <c r="P334" s="1126"/>
      <c r="Q334" s="1126"/>
      <c r="R334" s="1126"/>
      <c r="S334" s="1126"/>
      <c r="T334" s="1126"/>
      <c r="U334" s="1126"/>
      <c r="V334" s="1126"/>
      <c r="W334" s="1126"/>
      <c r="X334" s="1126"/>
      <c r="Y334" s="1126"/>
      <c r="Z334" s="1126"/>
      <c r="AA334" s="1126"/>
    </row>
    <row r="335" ht="15.75" customHeight="1">
      <c r="A335" s="1126"/>
      <c r="B335" s="1126"/>
      <c r="C335" s="1126"/>
      <c r="D335" s="1126"/>
      <c r="E335" s="1126"/>
      <c r="F335" s="1126"/>
      <c r="G335" s="1126"/>
      <c r="H335" s="1126"/>
      <c r="I335" s="1126"/>
      <c r="J335" s="1126"/>
      <c r="K335" s="1126"/>
      <c r="L335" s="1126"/>
      <c r="M335" s="1126"/>
      <c r="N335" s="1126"/>
      <c r="O335" s="1126"/>
      <c r="P335" s="1126"/>
      <c r="Q335" s="1126"/>
      <c r="R335" s="1126"/>
      <c r="S335" s="1126"/>
      <c r="T335" s="1126"/>
      <c r="U335" s="1126"/>
      <c r="V335" s="1126"/>
      <c r="W335" s="1126"/>
      <c r="X335" s="1126"/>
      <c r="Y335" s="1126"/>
      <c r="Z335" s="1126"/>
      <c r="AA335" s="1126"/>
    </row>
    <row r="336" ht="15.75" customHeight="1">
      <c r="A336" s="1126"/>
      <c r="B336" s="1126"/>
      <c r="C336" s="1126"/>
      <c r="D336" s="1126"/>
      <c r="E336" s="1126"/>
      <c r="F336" s="1126"/>
      <c r="G336" s="1126"/>
      <c r="H336" s="1126"/>
      <c r="I336" s="1126"/>
      <c r="J336" s="1126"/>
      <c r="K336" s="1126"/>
      <c r="L336" s="1126"/>
      <c r="M336" s="1126"/>
      <c r="N336" s="1126"/>
      <c r="O336" s="1126"/>
      <c r="P336" s="1126"/>
      <c r="Q336" s="1126"/>
      <c r="R336" s="1126"/>
      <c r="S336" s="1126"/>
      <c r="T336" s="1126"/>
      <c r="U336" s="1126"/>
      <c r="V336" s="1126"/>
      <c r="W336" s="1126"/>
      <c r="X336" s="1126"/>
      <c r="Y336" s="1126"/>
      <c r="Z336" s="1126"/>
      <c r="AA336" s="1126"/>
    </row>
    <row r="337" ht="15.75" customHeight="1">
      <c r="A337" s="1126"/>
      <c r="B337" s="1126"/>
      <c r="C337" s="1126"/>
      <c r="D337" s="1126"/>
      <c r="E337" s="1126"/>
      <c r="F337" s="1126"/>
      <c r="G337" s="1126"/>
      <c r="H337" s="1126"/>
      <c r="I337" s="1126"/>
      <c r="J337" s="1126"/>
      <c r="K337" s="1126"/>
      <c r="L337" s="1126"/>
      <c r="M337" s="1126"/>
      <c r="N337" s="1126"/>
      <c r="O337" s="1126"/>
      <c r="P337" s="1126"/>
      <c r="Q337" s="1126"/>
      <c r="R337" s="1126"/>
      <c r="S337" s="1126"/>
      <c r="T337" s="1126"/>
      <c r="U337" s="1126"/>
      <c r="V337" s="1126"/>
      <c r="W337" s="1126"/>
      <c r="X337" s="1126"/>
      <c r="Y337" s="1126"/>
      <c r="Z337" s="1126"/>
      <c r="AA337" s="1126"/>
    </row>
    <row r="338" ht="15.75" customHeight="1">
      <c r="A338" s="1126"/>
      <c r="B338" s="1126"/>
      <c r="C338" s="1126"/>
      <c r="D338" s="1126"/>
      <c r="E338" s="1126"/>
      <c r="F338" s="1126"/>
      <c r="G338" s="1126"/>
      <c r="H338" s="1126"/>
      <c r="I338" s="1126"/>
      <c r="J338" s="1126"/>
      <c r="K338" s="1126"/>
      <c r="L338" s="1126"/>
      <c r="M338" s="1126"/>
      <c r="N338" s="1126"/>
      <c r="O338" s="1126"/>
      <c r="P338" s="1126"/>
      <c r="Q338" s="1126"/>
      <c r="R338" s="1126"/>
      <c r="S338" s="1126"/>
      <c r="T338" s="1126"/>
      <c r="U338" s="1126"/>
      <c r="V338" s="1126"/>
      <c r="W338" s="1126"/>
      <c r="X338" s="1126"/>
      <c r="Y338" s="1126"/>
      <c r="Z338" s="1126"/>
      <c r="AA338" s="1126"/>
    </row>
    <row r="339" ht="15.75" customHeight="1">
      <c r="A339" s="1126"/>
      <c r="B339" s="1126"/>
      <c r="C339" s="1126"/>
      <c r="D339" s="1126"/>
      <c r="E339" s="1126"/>
      <c r="F339" s="1126"/>
      <c r="G339" s="1126"/>
      <c r="H339" s="1126"/>
      <c r="I339" s="1126"/>
      <c r="J339" s="1126"/>
      <c r="K339" s="1126"/>
      <c r="L339" s="1126"/>
      <c r="M339" s="1126"/>
      <c r="N339" s="1126"/>
      <c r="O339" s="1126"/>
      <c r="P339" s="1126"/>
      <c r="Q339" s="1126"/>
      <c r="R339" s="1126"/>
      <c r="S339" s="1126"/>
      <c r="T339" s="1126"/>
      <c r="U339" s="1126"/>
      <c r="V339" s="1126"/>
      <c r="W339" s="1126"/>
      <c r="X339" s="1126"/>
      <c r="Y339" s="1126"/>
      <c r="Z339" s="1126"/>
      <c r="AA339" s="1126"/>
    </row>
    <row r="340" ht="15.75" customHeight="1">
      <c r="A340" s="1126"/>
      <c r="B340" s="1126"/>
      <c r="C340" s="1126"/>
      <c r="D340" s="1126"/>
      <c r="E340" s="1126"/>
      <c r="F340" s="1126"/>
      <c r="G340" s="1126"/>
      <c r="H340" s="1126"/>
      <c r="I340" s="1126"/>
      <c r="J340" s="1126"/>
      <c r="K340" s="1126"/>
      <c r="L340" s="1126"/>
      <c r="M340" s="1126"/>
      <c r="N340" s="1126"/>
      <c r="O340" s="1126"/>
      <c r="P340" s="1126"/>
      <c r="Q340" s="1126"/>
      <c r="R340" s="1126"/>
      <c r="S340" s="1126"/>
      <c r="T340" s="1126"/>
      <c r="U340" s="1126"/>
      <c r="V340" s="1126"/>
      <c r="W340" s="1126"/>
      <c r="X340" s="1126"/>
      <c r="Y340" s="1126"/>
      <c r="Z340" s="1126"/>
      <c r="AA340" s="1126"/>
    </row>
    <row r="341" ht="15.75" customHeight="1">
      <c r="A341" s="1126"/>
      <c r="B341" s="1126"/>
      <c r="C341" s="1126"/>
      <c r="D341" s="1126"/>
      <c r="E341" s="1126"/>
      <c r="F341" s="1126"/>
      <c r="G341" s="1126"/>
      <c r="H341" s="1126"/>
      <c r="I341" s="1126"/>
      <c r="J341" s="1126"/>
      <c r="K341" s="1126"/>
      <c r="L341" s="1126"/>
      <c r="M341" s="1126"/>
      <c r="N341" s="1126"/>
      <c r="O341" s="1126"/>
      <c r="P341" s="1126"/>
      <c r="Q341" s="1126"/>
      <c r="R341" s="1126"/>
      <c r="S341" s="1126"/>
      <c r="T341" s="1126"/>
      <c r="U341" s="1126"/>
      <c r="V341" s="1126"/>
      <c r="W341" s="1126"/>
      <c r="X341" s="1126"/>
      <c r="Y341" s="1126"/>
      <c r="Z341" s="1126"/>
      <c r="AA341" s="1126"/>
    </row>
    <row r="342" ht="15.75" customHeight="1">
      <c r="A342" s="1126"/>
      <c r="B342" s="1126"/>
      <c r="C342" s="1126"/>
      <c r="D342" s="1126"/>
      <c r="E342" s="1126"/>
      <c r="F342" s="1126"/>
      <c r="G342" s="1126"/>
      <c r="H342" s="1126"/>
      <c r="I342" s="1126"/>
      <c r="J342" s="1126"/>
      <c r="K342" s="1126"/>
      <c r="L342" s="1126"/>
      <c r="M342" s="1126"/>
      <c r="N342" s="1126"/>
      <c r="O342" s="1126"/>
      <c r="P342" s="1126"/>
      <c r="Q342" s="1126"/>
      <c r="R342" s="1126"/>
      <c r="S342" s="1126"/>
      <c r="T342" s="1126"/>
      <c r="U342" s="1126"/>
      <c r="V342" s="1126"/>
      <c r="W342" s="1126"/>
      <c r="X342" s="1126"/>
      <c r="Y342" s="1126"/>
      <c r="Z342" s="1126"/>
      <c r="AA342" s="1126"/>
    </row>
    <row r="343" ht="15.75" customHeight="1">
      <c r="A343" s="1126"/>
      <c r="B343" s="1126"/>
      <c r="C343" s="1126"/>
      <c r="D343" s="1126"/>
      <c r="E343" s="1126"/>
      <c r="F343" s="1126"/>
      <c r="G343" s="1126"/>
      <c r="H343" s="1126"/>
      <c r="I343" s="1126"/>
      <c r="J343" s="1126"/>
      <c r="K343" s="1126"/>
      <c r="L343" s="1126"/>
      <c r="M343" s="1126"/>
      <c r="N343" s="1126"/>
      <c r="O343" s="1126"/>
      <c r="P343" s="1126"/>
      <c r="Q343" s="1126"/>
      <c r="R343" s="1126"/>
      <c r="S343" s="1126"/>
      <c r="T343" s="1126"/>
      <c r="U343" s="1126"/>
      <c r="V343" s="1126"/>
      <c r="W343" s="1126"/>
      <c r="X343" s="1126"/>
      <c r="Y343" s="1126"/>
      <c r="Z343" s="1126"/>
      <c r="AA343" s="1126"/>
    </row>
    <row r="344" ht="15.75" customHeight="1">
      <c r="A344" s="1126"/>
      <c r="B344" s="1126"/>
      <c r="C344" s="1126"/>
      <c r="D344" s="1126"/>
      <c r="E344" s="1126"/>
      <c r="F344" s="1126"/>
      <c r="G344" s="1126"/>
      <c r="H344" s="1126"/>
      <c r="I344" s="1126"/>
      <c r="J344" s="1126"/>
      <c r="K344" s="1126"/>
      <c r="L344" s="1126"/>
      <c r="M344" s="1126"/>
      <c r="N344" s="1126"/>
      <c r="O344" s="1126"/>
      <c r="P344" s="1126"/>
      <c r="Q344" s="1126"/>
      <c r="R344" s="1126"/>
      <c r="S344" s="1126"/>
      <c r="T344" s="1126"/>
      <c r="U344" s="1126"/>
      <c r="V344" s="1126"/>
      <c r="W344" s="1126"/>
      <c r="X344" s="1126"/>
      <c r="Y344" s="1126"/>
      <c r="Z344" s="1126"/>
      <c r="AA344" s="1126"/>
    </row>
    <row r="345" ht="15.75" customHeight="1">
      <c r="A345" s="1126"/>
      <c r="B345" s="1126"/>
      <c r="C345" s="1126"/>
      <c r="D345" s="1126"/>
      <c r="E345" s="1126"/>
      <c r="F345" s="1126"/>
      <c r="G345" s="1126"/>
      <c r="H345" s="1126"/>
      <c r="I345" s="1126"/>
      <c r="J345" s="1126"/>
      <c r="K345" s="1126"/>
      <c r="L345" s="1126"/>
      <c r="M345" s="1126"/>
      <c r="N345" s="1126"/>
      <c r="O345" s="1126"/>
      <c r="P345" s="1126"/>
      <c r="Q345" s="1126"/>
      <c r="R345" s="1126"/>
      <c r="S345" s="1126"/>
      <c r="T345" s="1126"/>
      <c r="U345" s="1126"/>
      <c r="V345" s="1126"/>
      <c r="W345" s="1126"/>
      <c r="X345" s="1126"/>
      <c r="Y345" s="1126"/>
      <c r="Z345" s="1126"/>
      <c r="AA345" s="1126"/>
    </row>
    <row r="346" ht="15.75" customHeight="1">
      <c r="A346" s="1126"/>
      <c r="B346" s="1126"/>
      <c r="C346" s="1126"/>
      <c r="D346" s="1126"/>
      <c r="E346" s="1126"/>
      <c r="F346" s="1126"/>
      <c r="G346" s="1126"/>
      <c r="H346" s="1126"/>
      <c r="I346" s="1126"/>
      <c r="J346" s="1126"/>
      <c r="K346" s="1126"/>
      <c r="L346" s="1126"/>
      <c r="M346" s="1126"/>
      <c r="N346" s="1126"/>
      <c r="O346" s="1126"/>
      <c r="P346" s="1126"/>
      <c r="Q346" s="1126"/>
      <c r="R346" s="1126"/>
      <c r="S346" s="1126"/>
      <c r="T346" s="1126"/>
      <c r="U346" s="1126"/>
      <c r="V346" s="1126"/>
      <c r="W346" s="1126"/>
      <c r="X346" s="1126"/>
      <c r="Y346" s="1126"/>
      <c r="Z346" s="1126"/>
      <c r="AA346" s="1126"/>
    </row>
    <row r="347" ht="15.75" customHeight="1">
      <c r="A347" s="1126"/>
      <c r="B347" s="1126"/>
      <c r="C347" s="1126"/>
      <c r="D347" s="1126"/>
      <c r="E347" s="1126"/>
      <c r="F347" s="1126"/>
      <c r="G347" s="1126"/>
      <c r="H347" s="1126"/>
      <c r="I347" s="1126"/>
      <c r="J347" s="1126"/>
      <c r="K347" s="1126"/>
      <c r="L347" s="1126"/>
      <c r="M347" s="1126"/>
      <c r="N347" s="1126"/>
      <c r="O347" s="1126"/>
      <c r="P347" s="1126"/>
      <c r="Q347" s="1126"/>
      <c r="R347" s="1126"/>
      <c r="S347" s="1126"/>
      <c r="T347" s="1126"/>
      <c r="U347" s="1126"/>
      <c r="V347" s="1126"/>
      <c r="W347" s="1126"/>
      <c r="X347" s="1126"/>
      <c r="Y347" s="1126"/>
      <c r="Z347" s="1126"/>
      <c r="AA347" s="1126"/>
    </row>
    <row r="348" ht="15.75" customHeight="1">
      <c r="A348" s="1126"/>
      <c r="B348" s="1126"/>
      <c r="C348" s="1126"/>
      <c r="D348" s="1126"/>
      <c r="E348" s="1126"/>
      <c r="F348" s="1126"/>
      <c r="G348" s="1126"/>
      <c r="H348" s="1126"/>
      <c r="I348" s="1126"/>
      <c r="J348" s="1126"/>
      <c r="K348" s="1126"/>
      <c r="L348" s="1126"/>
      <c r="M348" s="1126"/>
      <c r="N348" s="1126"/>
      <c r="O348" s="1126"/>
      <c r="P348" s="1126"/>
      <c r="Q348" s="1126"/>
      <c r="R348" s="1126"/>
      <c r="S348" s="1126"/>
      <c r="T348" s="1126"/>
      <c r="U348" s="1126"/>
      <c r="V348" s="1126"/>
      <c r="W348" s="1126"/>
      <c r="X348" s="1126"/>
      <c r="Y348" s="1126"/>
      <c r="Z348" s="1126"/>
      <c r="AA348" s="1126"/>
    </row>
    <row r="349" ht="15.75" customHeight="1">
      <c r="A349" s="1126"/>
      <c r="B349" s="1126"/>
      <c r="C349" s="1126"/>
      <c r="D349" s="1126"/>
      <c r="E349" s="1126"/>
      <c r="F349" s="1126"/>
      <c r="G349" s="1126"/>
      <c r="H349" s="1126"/>
      <c r="I349" s="1126"/>
      <c r="J349" s="1126"/>
      <c r="K349" s="1126"/>
      <c r="L349" s="1126"/>
      <c r="M349" s="1126"/>
      <c r="N349" s="1126"/>
      <c r="O349" s="1126"/>
      <c r="P349" s="1126"/>
      <c r="Q349" s="1126"/>
      <c r="R349" s="1126"/>
      <c r="S349" s="1126"/>
      <c r="T349" s="1126"/>
      <c r="U349" s="1126"/>
      <c r="V349" s="1126"/>
      <c r="W349" s="1126"/>
      <c r="X349" s="1126"/>
      <c r="Y349" s="1126"/>
      <c r="Z349" s="1126"/>
      <c r="AA349" s="1126"/>
    </row>
    <row r="350" ht="15.75" customHeight="1">
      <c r="A350" s="1126"/>
      <c r="B350" s="1126"/>
      <c r="C350" s="1126"/>
      <c r="D350" s="1126"/>
      <c r="E350" s="1126"/>
      <c r="F350" s="1126"/>
      <c r="G350" s="1126"/>
      <c r="H350" s="1126"/>
      <c r="I350" s="1126"/>
      <c r="J350" s="1126"/>
      <c r="K350" s="1126"/>
      <c r="L350" s="1126"/>
      <c r="M350" s="1126"/>
      <c r="N350" s="1126"/>
      <c r="O350" s="1126"/>
      <c r="P350" s="1126"/>
      <c r="Q350" s="1126"/>
      <c r="R350" s="1126"/>
      <c r="S350" s="1126"/>
      <c r="T350" s="1126"/>
      <c r="U350" s="1126"/>
      <c r="V350" s="1126"/>
      <c r="W350" s="1126"/>
      <c r="X350" s="1126"/>
      <c r="Y350" s="1126"/>
      <c r="Z350" s="1126"/>
      <c r="AA350" s="1126"/>
    </row>
    <row r="351" ht="15.75" customHeight="1">
      <c r="A351" s="1126"/>
      <c r="B351" s="1126"/>
      <c r="C351" s="1126"/>
      <c r="D351" s="1126"/>
      <c r="E351" s="1126"/>
      <c r="F351" s="1126"/>
      <c r="G351" s="1126"/>
      <c r="H351" s="1126"/>
      <c r="I351" s="1126"/>
      <c r="J351" s="1126"/>
      <c r="K351" s="1126"/>
      <c r="L351" s="1126"/>
      <c r="M351" s="1126"/>
      <c r="N351" s="1126"/>
      <c r="O351" s="1126"/>
      <c r="P351" s="1126"/>
      <c r="Q351" s="1126"/>
      <c r="R351" s="1126"/>
      <c r="S351" s="1126"/>
      <c r="T351" s="1126"/>
      <c r="U351" s="1126"/>
      <c r="V351" s="1126"/>
      <c r="W351" s="1126"/>
      <c r="X351" s="1126"/>
      <c r="Y351" s="1126"/>
      <c r="Z351" s="1126"/>
      <c r="AA351" s="1126"/>
    </row>
    <row r="352" ht="15.75" customHeight="1">
      <c r="A352" s="1126"/>
      <c r="B352" s="1126"/>
      <c r="C352" s="1126"/>
      <c r="D352" s="1126"/>
      <c r="E352" s="1126"/>
      <c r="F352" s="1126"/>
      <c r="G352" s="1126"/>
      <c r="H352" s="1126"/>
      <c r="I352" s="1126"/>
      <c r="J352" s="1126"/>
      <c r="K352" s="1126"/>
      <c r="L352" s="1126"/>
      <c r="M352" s="1126"/>
      <c r="N352" s="1126"/>
      <c r="O352" s="1126"/>
      <c r="P352" s="1126"/>
      <c r="Q352" s="1126"/>
      <c r="R352" s="1126"/>
      <c r="S352" s="1126"/>
      <c r="T352" s="1126"/>
      <c r="U352" s="1126"/>
      <c r="V352" s="1126"/>
      <c r="W352" s="1126"/>
      <c r="X352" s="1126"/>
      <c r="Y352" s="1126"/>
      <c r="Z352" s="1126"/>
      <c r="AA352" s="1126"/>
    </row>
    <row r="353" ht="15.75" customHeight="1">
      <c r="A353" s="1126"/>
      <c r="B353" s="1126"/>
      <c r="C353" s="1126"/>
      <c r="D353" s="1126"/>
      <c r="E353" s="1126"/>
      <c r="F353" s="1126"/>
      <c r="G353" s="1126"/>
      <c r="H353" s="1126"/>
      <c r="I353" s="1126"/>
      <c r="J353" s="1126"/>
      <c r="K353" s="1126"/>
      <c r="L353" s="1126"/>
      <c r="M353" s="1126"/>
      <c r="N353" s="1126"/>
      <c r="O353" s="1126"/>
      <c r="P353" s="1126"/>
      <c r="Q353" s="1126"/>
      <c r="R353" s="1126"/>
      <c r="S353" s="1126"/>
      <c r="T353" s="1126"/>
      <c r="U353" s="1126"/>
      <c r="V353" s="1126"/>
      <c r="W353" s="1126"/>
      <c r="X353" s="1126"/>
      <c r="Y353" s="1126"/>
      <c r="Z353" s="1126"/>
      <c r="AA353" s="1126"/>
    </row>
    <row r="354" ht="15.75" customHeight="1">
      <c r="A354" s="1126"/>
      <c r="B354" s="1126"/>
      <c r="C354" s="1126"/>
      <c r="D354" s="1126"/>
      <c r="E354" s="1126"/>
      <c r="F354" s="1126"/>
      <c r="G354" s="1126"/>
      <c r="H354" s="1126"/>
      <c r="I354" s="1126"/>
      <c r="J354" s="1126"/>
      <c r="K354" s="1126"/>
      <c r="L354" s="1126"/>
      <c r="M354" s="1126"/>
      <c r="N354" s="1126"/>
      <c r="O354" s="1126"/>
      <c r="P354" s="1126"/>
      <c r="Q354" s="1126"/>
      <c r="R354" s="1126"/>
      <c r="S354" s="1126"/>
      <c r="T354" s="1126"/>
      <c r="U354" s="1126"/>
      <c r="V354" s="1126"/>
      <c r="W354" s="1126"/>
      <c r="X354" s="1126"/>
      <c r="Y354" s="1126"/>
      <c r="Z354" s="1126"/>
      <c r="AA354" s="1126"/>
    </row>
    <row r="355" ht="15.75" customHeight="1">
      <c r="A355" s="1126"/>
      <c r="B355" s="1126"/>
      <c r="C355" s="1126"/>
      <c r="D355" s="1126"/>
      <c r="E355" s="1126"/>
      <c r="F355" s="1126"/>
      <c r="G355" s="1126"/>
      <c r="H355" s="1126"/>
      <c r="I355" s="1126"/>
      <c r="J355" s="1126"/>
      <c r="K355" s="1126"/>
      <c r="L355" s="1126"/>
      <c r="M355" s="1126"/>
      <c r="N355" s="1126"/>
      <c r="O355" s="1126"/>
      <c r="P355" s="1126"/>
      <c r="Q355" s="1126"/>
      <c r="R355" s="1126"/>
      <c r="S355" s="1126"/>
      <c r="T355" s="1126"/>
      <c r="U355" s="1126"/>
      <c r="V355" s="1126"/>
      <c r="W355" s="1126"/>
      <c r="X355" s="1126"/>
      <c r="Y355" s="1126"/>
      <c r="Z355" s="1126"/>
      <c r="AA355" s="1126"/>
    </row>
    <row r="356" ht="15.75" customHeight="1">
      <c r="A356" s="1126"/>
      <c r="B356" s="1126"/>
      <c r="C356" s="1126"/>
      <c r="D356" s="1126"/>
      <c r="E356" s="1126"/>
      <c r="F356" s="1126"/>
      <c r="G356" s="1126"/>
      <c r="H356" s="1126"/>
      <c r="I356" s="1126"/>
      <c r="J356" s="1126"/>
      <c r="K356" s="1126"/>
      <c r="L356" s="1126"/>
      <c r="M356" s="1126"/>
      <c r="N356" s="1126"/>
      <c r="O356" s="1126"/>
      <c r="P356" s="1126"/>
      <c r="Q356" s="1126"/>
      <c r="R356" s="1126"/>
      <c r="S356" s="1126"/>
      <c r="T356" s="1126"/>
      <c r="U356" s="1126"/>
      <c r="V356" s="1126"/>
      <c r="W356" s="1126"/>
      <c r="X356" s="1126"/>
      <c r="Y356" s="1126"/>
      <c r="Z356" s="1126"/>
      <c r="AA356" s="1126"/>
    </row>
    <row r="357" ht="15.75" customHeight="1">
      <c r="A357" s="1126"/>
      <c r="B357" s="1126"/>
      <c r="C357" s="1126"/>
      <c r="D357" s="1126"/>
      <c r="E357" s="1126"/>
      <c r="F357" s="1126"/>
      <c r="G357" s="1126"/>
      <c r="H357" s="1126"/>
      <c r="I357" s="1126"/>
      <c r="J357" s="1126"/>
      <c r="K357" s="1126"/>
      <c r="L357" s="1126"/>
      <c r="M357" s="1126"/>
      <c r="N357" s="1126"/>
      <c r="O357" s="1126"/>
      <c r="P357" s="1126"/>
      <c r="Q357" s="1126"/>
      <c r="R357" s="1126"/>
      <c r="S357" s="1126"/>
      <c r="T357" s="1126"/>
      <c r="U357" s="1126"/>
      <c r="V357" s="1126"/>
      <c r="W357" s="1126"/>
      <c r="X357" s="1126"/>
      <c r="Y357" s="1126"/>
      <c r="Z357" s="1126"/>
      <c r="AA357" s="1126"/>
    </row>
    <row r="358" ht="15.75" customHeight="1">
      <c r="A358" s="1126"/>
      <c r="B358" s="1126"/>
      <c r="C358" s="1126"/>
      <c r="D358" s="1126"/>
      <c r="E358" s="1126"/>
      <c r="F358" s="1126"/>
      <c r="G358" s="1126"/>
      <c r="H358" s="1126"/>
      <c r="I358" s="1126"/>
      <c r="J358" s="1126"/>
      <c r="K358" s="1126"/>
      <c r="L358" s="1126"/>
      <c r="M358" s="1126"/>
      <c r="N358" s="1126"/>
      <c r="O358" s="1126"/>
      <c r="P358" s="1126"/>
      <c r="Q358" s="1126"/>
      <c r="R358" s="1126"/>
      <c r="S358" s="1126"/>
      <c r="T358" s="1126"/>
      <c r="U358" s="1126"/>
      <c r="V358" s="1126"/>
      <c r="W358" s="1126"/>
      <c r="X358" s="1126"/>
      <c r="Y358" s="1126"/>
      <c r="Z358" s="1126"/>
      <c r="AA358" s="1126"/>
    </row>
    <row r="359" ht="15.75" customHeight="1">
      <c r="A359" s="1126"/>
      <c r="B359" s="1126"/>
      <c r="C359" s="1126"/>
      <c r="D359" s="1126"/>
      <c r="E359" s="1126"/>
      <c r="F359" s="1126"/>
      <c r="G359" s="1126"/>
      <c r="H359" s="1126"/>
      <c r="I359" s="1126"/>
      <c r="J359" s="1126"/>
      <c r="K359" s="1126"/>
      <c r="L359" s="1126"/>
      <c r="M359" s="1126"/>
      <c r="N359" s="1126"/>
      <c r="O359" s="1126"/>
      <c r="P359" s="1126"/>
      <c r="Q359" s="1126"/>
      <c r="R359" s="1126"/>
      <c r="S359" s="1126"/>
      <c r="T359" s="1126"/>
      <c r="U359" s="1126"/>
      <c r="V359" s="1126"/>
      <c r="W359" s="1126"/>
      <c r="X359" s="1126"/>
      <c r="Y359" s="1126"/>
      <c r="Z359" s="1126"/>
      <c r="AA359" s="1126"/>
    </row>
    <row r="360" ht="15.75" customHeight="1">
      <c r="A360" s="1126"/>
      <c r="B360" s="1126"/>
      <c r="C360" s="1126"/>
      <c r="D360" s="1126"/>
      <c r="E360" s="1126"/>
      <c r="F360" s="1126"/>
      <c r="G360" s="1126"/>
      <c r="H360" s="1126"/>
      <c r="I360" s="1126"/>
      <c r="J360" s="1126"/>
      <c r="K360" s="1126"/>
      <c r="L360" s="1126"/>
      <c r="M360" s="1126"/>
      <c r="N360" s="1126"/>
      <c r="O360" s="1126"/>
      <c r="P360" s="1126"/>
      <c r="Q360" s="1126"/>
      <c r="R360" s="1126"/>
      <c r="S360" s="1126"/>
      <c r="T360" s="1126"/>
      <c r="U360" s="1126"/>
      <c r="V360" s="1126"/>
      <c r="W360" s="1126"/>
      <c r="X360" s="1126"/>
      <c r="Y360" s="1126"/>
      <c r="Z360" s="1126"/>
      <c r="AA360" s="1126"/>
    </row>
    <row r="361" ht="15.75" customHeight="1">
      <c r="A361" s="1126"/>
      <c r="B361" s="1126"/>
      <c r="C361" s="1126"/>
      <c r="D361" s="1126"/>
      <c r="E361" s="1126"/>
      <c r="F361" s="1126"/>
      <c r="G361" s="1126"/>
      <c r="H361" s="1126"/>
      <c r="I361" s="1126"/>
      <c r="J361" s="1126"/>
      <c r="K361" s="1126"/>
      <c r="L361" s="1126"/>
      <c r="M361" s="1126"/>
      <c r="N361" s="1126"/>
      <c r="O361" s="1126"/>
      <c r="P361" s="1126"/>
      <c r="Q361" s="1126"/>
      <c r="R361" s="1126"/>
      <c r="S361" s="1126"/>
      <c r="T361" s="1126"/>
      <c r="U361" s="1126"/>
      <c r="V361" s="1126"/>
      <c r="W361" s="1126"/>
      <c r="X361" s="1126"/>
      <c r="Y361" s="1126"/>
      <c r="Z361" s="1126"/>
      <c r="AA361" s="1126"/>
    </row>
    <row r="362" ht="15.75" customHeight="1">
      <c r="A362" s="1126"/>
      <c r="B362" s="1126"/>
      <c r="C362" s="1126"/>
      <c r="D362" s="1126"/>
      <c r="E362" s="1126"/>
      <c r="F362" s="1126"/>
      <c r="G362" s="1126"/>
      <c r="H362" s="1126"/>
      <c r="I362" s="1126"/>
      <c r="J362" s="1126"/>
      <c r="K362" s="1126"/>
      <c r="L362" s="1126"/>
      <c r="M362" s="1126"/>
      <c r="N362" s="1126"/>
      <c r="O362" s="1126"/>
      <c r="P362" s="1126"/>
      <c r="Q362" s="1126"/>
      <c r="R362" s="1126"/>
      <c r="S362" s="1126"/>
      <c r="T362" s="1126"/>
      <c r="U362" s="1126"/>
      <c r="V362" s="1126"/>
      <c r="W362" s="1126"/>
      <c r="X362" s="1126"/>
      <c r="Y362" s="1126"/>
      <c r="Z362" s="1126"/>
      <c r="AA362" s="1126"/>
    </row>
    <row r="363" ht="15.75" customHeight="1">
      <c r="A363" s="1126"/>
      <c r="B363" s="1126"/>
      <c r="C363" s="1126"/>
      <c r="D363" s="1126"/>
      <c r="E363" s="1126"/>
      <c r="F363" s="1126"/>
      <c r="G363" s="1126"/>
      <c r="H363" s="1126"/>
      <c r="I363" s="1126"/>
      <c r="J363" s="1126"/>
      <c r="K363" s="1126"/>
      <c r="L363" s="1126"/>
      <c r="M363" s="1126"/>
      <c r="N363" s="1126"/>
      <c r="O363" s="1126"/>
      <c r="P363" s="1126"/>
      <c r="Q363" s="1126"/>
      <c r="R363" s="1126"/>
      <c r="S363" s="1126"/>
      <c r="T363" s="1126"/>
      <c r="U363" s="1126"/>
      <c r="V363" s="1126"/>
      <c r="W363" s="1126"/>
      <c r="X363" s="1126"/>
      <c r="Y363" s="1126"/>
      <c r="Z363" s="1126"/>
      <c r="AA363" s="1126"/>
    </row>
    <row r="364" ht="15.75" customHeight="1">
      <c r="A364" s="1126"/>
      <c r="B364" s="1126"/>
      <c r="C364" s="1126"/>
      <c r="D364" s="1126"/>
      <c r="E364" s="1126"/>
      <c r="F364" s="1126"/>
      <c r="G364" s="1126"/>
      <c r="H364" s="1126"/>
      <c r="I364" s="1126"/>
      <c r="J364" s="1126"/>
      <c r="K364" s="1126"/>
      <c r="L364" s="1126"/>
      <c r="M364" s="1126"/>
      <c r="N364" s="1126"/>
      <c r="O364" s="1126"/>
      <c r="P364" s="1126"/>
      <c r="Q364" s="1126"/>
      <c r="R364" s="1126"/>
      <c r="S364" s="1126"/>
      <c r="T364" s="1126"/>
      <c r="U364" s="1126"/>
      <c r="V364" s="1126"/>
      <c r="W364" s="1126"/>
      <c r="X364" s="1126"/>
      <c r="Y364" s="1126"/>
      <c r="Z364" s="1126"/>
      <c r="AA364" s="1126"/>
    </row>
    <row r="365" ht="15.75" customHeight="1">
      <c r="A365" s="1126"/>
      <c r="B365" s="1126"/>
      <c r="C365" s="1126"/>
      <c r="D365" s="1126"/>
      <c r="E365" s="1126"/>
      <c r="F365" s="1126"/>
      <c r="G365" s="1126"/>
      <c r="H365" s="1126"/>
      <c r="I365" s="1126"/>
      <c r="J365" s="1126"/>
      <c r="K365" s="1126"/>
      <c r="L365" s="1126"/>
      <c r="M365" s="1126"/>
      <c r="N365" s="1126"/>
      <c r="O365" s="1126"/>
      <c r="P365" s="1126"/>
      <c r="Q365" s="1126"/>
      <c r="R365" s="1126"/>
      <c r="S365" s="1126"/>
      <c r="T365" s="1126"/>
      <c r="U365" s="1126"/>
      <c r="V365" s="1126"/>
      <c r="W365" s="1126"/>
      <c r="X365" s="1126"/>
      <c r="Y365" s="1126"/>
      <c r="Z365" s="1126"/>
      <c r="AA365" s="1126"/>
    </row>
    <row r="366" ht="15.75" customHeight="1">
      <c r="A366" s="1126"/>
      <c r="B366" s="1126"/>
      <c r="C366" s="1126"/>
      <c r="D366" s="1126"/>
      <c r="E366" s="1126"/>
      <c r="F366" s="1126"/>
      <c r="G366" s="1126"/>
      <c r="H366" s="1126"/>
      <c r="I366" s="1126"/>
      <c r="J366" s="1126"/>
      <c r="K366" s="1126"/>
      <c r="L366" s="1126"/>
      <c r="M366" s="1126"/>
      <c r="N366" s="1126"/>
      <c r="O366" s="1126"/>
      <c r="P366" s="1126"/>
      <c r="Q366" s="1126"/>
      <c r="R366" s="1126"/>
      <c r="S366" s="1126"/>
      <c r="T366" s="1126"/>
      <c r="U366" s="1126"/>
      <c r="V366" s="1126"/>
      <c r="W366" s="1126"/>
      <c r="X366" s="1126"/>
      <c r="Y366" s="1126"/>
      <c r="Z366" s="1126"/>
      <c r="AA366" s="1126"/>
    </row>
    <row r="367" ht="15.75" customHeight="1">
      <c r="A367" s="1126"/>
      <c r="B367" s="1126"/>
      <c r="C367" s="1126"/>
      <c r="D367" s="1126"/>
      <c r="E367" s="1126"/>
      <c r="F367" s="1126"/>
      <c r="G367" s="1126"/>
      <c r="H367" s="1126"/>
      <c r="I367" s="1126"/>
      <c r="J367" s="1126"/>
      <c r="K367" s="1126"/>
      <c r="L367" s="1126"/>
      <c r="M367" s="1126"/>
      <c r="N367" s="1126"/>
      <c r="O367" s="1126"/>
      <c r="P367" s="1126"/>
      <c r="Q367" s="1126"/>
      <c r="R367" s="1126"/>
      <c r="S367" s="1126"/>
      <c r="T367" s="1126"/>
      <c r="U367" s="1126"/>
      <c r="V367" s="1126"/>
      <c r="W367" s="1126"/>
      <c r="X367" s="1126"/>
      <c r="Y367" s="1126"/>
      <c r="Z367" s="1126"/>
      <c r="AA367" s="1126"/>
    </row>
    <row r="368" ht="15.75" customHeight="1">
      <c r="A368" s="1126"/>
      <c r="B368" s="1126"/>
      <c r="C368" s="1126"/>
      <c r="D368" s="1126"/>
      <c r="E368" s="1126"/>
      <c r="F368" s="1126"/>
      <c r="G368" s="1126"/>
      <c r="H368" s="1126"/>
      <c r="I368" s="1126"/>
      <c r="J368" s="1126"/>
      <c r="K368" s="1126"/>
      <c r="L368" s="1126"/>
      <c r="M368" s="1126"/>
      <c r="N368" s="1126"/>
      <c r="O368" s="1126"/>
      <c r="P368" s="1126"/>
      <c r="Q368" s="1126"/>
      <c r="R368" s="1126"/>
      <c r="S368" s="1126"/>
      <c r="T368" s="1126"/>
      <c r="U368" s="1126"/>
      <c r="V368" s="1126"/>
      <c r="W368" s="1126"/>
      <c r="X368" s="1126"/>
      <c r="Y368" s="1126"/>
      <c r="Z368" s="1126"/>
      <c r="AA368" s="1126"/>
    </row>
    <row r="369" ht="15.75" customHeight="1">
      <c r="A369" s="1126"/>
      <c r="B369" s="1126"/>
      <c r="C369" s="1126"/>
      <c r="D369" s="1126"/>
      <c r="E369" s="1126"/>
      <c r="F369" s="1126"/>
      <c r="G369" s="1126"/>
      <c r="H369" s="1126"/>
      <c r="I369" s="1126"/>
      <c r="J369" s="1126"/>
      <c r="K369" s="1126"/>
      <c r="L369" s="1126"/>
      <c r="M369" s="1126"/>
      <c r="N369" s="1126"/>
      <c r="O369" s="1126"/>
      <c r="P369" s="1126"/>
      <c r="Q369" s="1126"/>
      <c r="R369" s="1126"/>
      <c r="S369" s="1126"/>
      <c r="T369" s="1126"/>
      <c r="U369" s="1126"/>
      <c r="V369" s="1126"/>
      <c r="W369" s="1126"/>
      <c r="X369" s="1126"/>
      <c r="Y369" s="1126"/>
      <c r="Z369" s="1126"/>
      <c r="AA369" s="1126"/>
    </row>
    <row r="370" ht="15.75" customHeight="1">
      <c r="A370" s="1126"/>
      <c r="B370" s="1126"/>
      <c r="C370" s="1126"/>
      <c r="D370" s="1126"/>
      <c r="E370" s="1126"/>
      <c r="F370" s="1126"/>
      <c r="G370" s="1126"/>
      <c r="H370" s="1126"/>
      <c r="I370" s="1126"/>
      <c r="J370" s="1126"/>
      <c r="K370" s="1126"/>
      <c r="L370" s="1126"/>
      <c r="M370" s="1126"/>
      <c r="N370" s="1126"/>
      <c r="O370" s="1126"/>
      <c r="P370" s="1126"/>
      <c r="Q370" s="1126"/>
      <c r="R370" s="1126"/>
      <c r="S370" s="1126"/>
      <c r="T370" s="1126"/>
      <c r="U370" s="1126"/>
      <c r="V370" s="1126"/>
      <c r="W370" s="1126"/>
      <c r="X370" s="1126"/>
      <c r="Y370" s="1126"/>
      <c r="Z370" s="1126"/>
      <c r="AA370" s="1126"/>
    </row>
    <row r="371" ht="15.75" customHeight="1">
      <c r="A371" s="1126"/>
      <c r="B371" s="1126"/>
      <c r="C371" s="1126"/>
      <c r="D371" s="1126"/>
      <c r="E371" s="1126"/>
      <c r="F371" s="1126"/>
      <c r="G371" s="1126"/>
      <c r="H371" s="1126"/>
      <c r="I371" s="1126"/>
      <c r="J371" s="1126"/>
      <c r="K371" s="1126"/>
      <c r="L371" s="1126"/>
      <c r="M371" s="1126"/>
      <c r="N371" s="1126"/>
      <c r="O371" s="1126"/>
      <c r="P371" s="1126"/>
      <c r="Q371" s="1126"/>
      <c r="R371" s="1126"/>
      <c r="S371" s="1126"/>
      <c r="T371" s="1126"/>
      <c r="U371" s="1126"/>
      <c r="V371" s="1126"/>
      <c r="W371" s="1126"/>
      <c r="X371" s="1126"/>
      <c r="Y371" s="1126"/>
      <c r="Z371" s="1126"/>
      <c r="AA371" s="1126"/>
    </row>
    <row r="372" ht="15.75" customHeight="1">
      <c r="A372" s="1126"/>
      <c r="B372" s="1126"/>
      <c r="C372" s="1126"/>
      <c r="D372" s="1126"/>
      <c r="E372" s="1126"/>
      <c r="F372" s="1126"/>
      <c r="G372" s="1126"/>
      <c r="H372" s="1126"/>
      <c r="I372" s="1126"/>
      <c r="J372" s="1126"/>
      <c r="K372" s="1126"/>
      <c r="L372" s="1126"/>
      <c r="M372" s="1126"/>
      <c r="N372" s="1126"/>
      <c r="O372" s="1126"/>
      <c r="P372" s="1126"/>
      <c r="Q372" s="1126"/>
      <c r="R372" s="1126"/>
      <c r="S372" s="1126"/>
      <c r="T372" s="1126"/>
      <c r="U372" s="1126"/>
      <c r="V372" s="1126"/>
      <c r="W372" s="1126"/>
      <c r="X372" s="1126"/>
      <c r="Y372" s="1126"/>
      <c r="Z372" s="1126"/>
      <c r="AA372" s="1126"/>
    </row>
    <row r="373" ht="15.75" customHeight="1">
      <c r="A373" s="1126"/>
      <c r="B373" s="1126"/>
      <c r="C373" s="1126"/>
      <c r="D373" s="1126"/>
      <c r="E373" s="1126"/>
      <c r="F373" s="1126"/>
      <c r="G373" s="1126"/>
      <c r="H373" s="1126"/>
      <c r="I373" s="1126"/>
      <c r="J373" s="1126"/>
      <c r="K373" s="1126"/>
      <c r="L373" s="1126"/>
      <c r="M373" s="1126"/>
      <c r="N373" s="1126"/>
      <c r="O373" s="1126"/>
      <c r="P373" s="1126"/>
      <c r="Q373" s="1126"/>
      <c r="R373" s="1126"/>
      <c r="S373" s="1126"/>
      <c r="T373" s="1126"/>
      <c r="U373" s="1126"/>
      <c r="V373" s="1126"/>
      <c r="W373" s="1126"/>
      <c r="X373" s="1126"/>
      <c r="Y373" s="1126"/>
      <c r="Z373" s="1126"/>
      <c r="AA373" s="1126"/>
    </row>
    <row r="374" ht="15.75" customHeight="1">
      <c r="A374" s="1126"/>
      <c r="B374" s="1126"/>
      <c r="C374" s="1126"/>
      <c r="D374" s="1126"/>
      <c r="E374" s="1126"/>
      <c r="F374" s="1126"/>
      <c r="G374" s="1126"/>
      <c r="H374" s="1126"/>
      <c r="I374" s="1126"/>
      <c r="J374" s="1126"/>
      <c r="K374" s="1126"/>
      <c r="L374" s="1126"/>
      <c r="M374" s="1126"/>
      <c r="N374" s="1126"/>
      <c r="O374" s="1126"/>
      <c r="P374" s="1126"/>
      <c r="Q374" s="1126"/>
      <c r="R374" s="1126"/>
      <c r="S374" s="1126"/>
      <c r="T374" s="1126"/>
      <c r="U374" s="1126"/>
      <c r="V374" s="1126"/>
      <c r="W374" s="1126"/>
      <c r="X374" s="1126"/>
      <c r="Y374" s="1126"/>
      <c r="Z374" s="1126"/>
      <c r="AA374" s="1126"/>
    </row>
    <row r="375" ht="15.75" customHeight="1">
      <c r="A375" s="1126"/>
      <c r="B375" s="1126"/>
      <c r="C375" s="1126"/>
      <c r="D375" s="1126"/>
      <c r="E375" s="1126"/>
      <c r="F375" s="1126"/>
      <c r="G375" s="1126"/>
      <c r="H375" s="1126"/>
      <c r="I375" s="1126"/>
      <c r="J375" s="1126"/>
      <c r="K375" s="1126"/>
      <c r="L375" s="1126"/>
      <c r="M375" s="1126"/>
      <c r="N375" s="1126"/>
      <c r="O375" s="1126"/>
      <c r="P375" s="1126"/>
      <c r="Q375" s="1126"/>
      <c r="R375" s="1126"/>
      <c r="S375" s="1126"/>
      <c r="T375" s="1126"/>
      <c r="U375" s="1126"/>
      <c r="V375" s="1126"/>
      <c r="W375" s="1126"/>
      <c r="X375" s="1126"/>
      <c r="Y375" s="1126"/>
      <c r="Z375" s="1126"/>
      <c r="AA375" s="1126"/>
    </row>
    <row r="376" ht="15.75" customHeight="1">
      <c r="A376" s="1126"/>
      <c r="B376" s="1126"/>
      <c r="C376" s="1126"/>
      <c r="D376" s="1126"/>
      <c r="E376" s="1126"/>
      <c r="F376" s="1126"/>
      <c r="G376" s="1126"/>
      <c r="H376" s="1126"/>
      <c r="I376" s="1126"/>
      <c r="J376" s="1126"/>
      <c r="K376" s="1126"/>
      <c r="L376" s="1126"/>
      <c r="M376" s="1126"/>
      <c r="N376" s="1126"/>
      <c r="O376" s="1126"/>
      <c r="P376" s="1126"/>
      <c r="Q376" s="1126"/>
      <c r="R376" s="1126"/>
      <c r="S376" s="1126"/>
      <c r="T376" s="1126"/>
      <c r="U376" s="1126"/>
      <c r="V376" s="1126"/>
      <c r="W376" s="1126"/>
      <c r="X376" s="1126"/>
      <c r="Y376" s="1126"/>
      <c r="Z376" s="1126"/>
      <c r="AA376" s="1126"/>
    </row>
    <row r="377" ht="15.75" customHeight="1">
      <c r="A377" s="1126"/>
      <c r="B377" s="1126"/>
      <c r="C377" s="1126"/>
      <c r="D377" s="1126"/>
      <c r="E377" s="1126"/>
      <c r="F377" s="1126"/>
      <c r="G377" s="1126"/>
      <c r="H377" s="1126"/>
      <c r="I377" s="1126"/>
      <c r="J377" s="1126"/>
      <c r="K377" s="1126"/>
      <c r="L377" s="1126"/>
      <c r="M377" s="1126"/>
      <c r="N377" s="1126"/>
      <c r="O377" s="1126"/>
      <c r="P377" s="1126"/>
      <c r="Q377" s="1126"/>
      <c r="R377" s="1126"/>
      <c r="S377" s="1126"/>
      <c r="T377" s="1126"/>
      <c r="U377" s="1126"/>
      <c r="V377" s="1126"/>
      <c r="W377" s="1126"/>
      <c r="X377" s="1126"/>
      <c r="Y377" s="1126"/>
      <c r="Z377" s="1126"/>
      <c r="AA377" s="1126"/>
    </row>
    <row r="378" ht="15.75" customHeight="1">
      <c r="A378" s="1126"/>
      <c r="B378" s="1126"/>
      <c r="C378" s="1126"/>
      <c r="D378" s="1126"/>
      <c r="E378" s="1126"/>
      <c r="F378" s="1126"/>
      <c r="G378" s="1126"/>
      <c r="H378" s="1126"/>
      <c r="I378" s="1126"/>
      <c r="J378" s="1126"/>
      <c r="K378" s="1126"/>
      <c r="L378" s="1126"/>
      <c r="M378" s="1126"/>
      <c r="N378" s="1126"/>
      <c r="O378" s="1126"/>
      <c r="P378" s="1126"/>
      <c r="Q378" s="1126"/>
      <c r="R378" s="1126"/>
      <c r="S378" s="1126"/>
      <c r="T378" s="1126"/>
      <c r="U378" s="1126"/>
      <c r="V378" s="1126"/>
      <c r="W378" s="1126"/>
      <c r="X378" s="1126"/>
      <c r="Y378" s="1126"/>
      <c r="Z378" s="1126"/>
      <c r="AA378" s="1126"/>
    </row>
    <row r="379" ht="15.75" customHeight="1">
      <c r="A379" s="1126"/>
      <c r="B379" s="1126"/>
      <c r="C379" s="1126"/>
      <c r="D379" s="1126"/>
      <c r="E379" s="1126"/>
      <c r="F379" s="1126"/>
      <c r="G379" s="1126"/>
      <c r="H379" s="1126"/>
      <c r="I379" s="1126"/>
      <c r="J379" s="1126"/>
      <c r="K379" s="1126"/>
      <c r="L379" s="1126"/>
      <c r="M379" s="1126"/>
      <c r="N379" s="1126"/>
      <c r="O379" s="1126"/>
      <c r="P379" s="1126"/>
      <c r="Q379" s="1126"/>
      <c r="R379" s="1126"/>
      <c r="S379" s="1126"/>
      <c r="T379" s="1126"/>
      <c r="U379" s="1126"/>
      <c r="V379" s="1126"/>
      <c r="W379" s="1126"/>
      <c r="X379" s="1126"/>
      <c r="Y379" s="1126"/>
      <c r="Z379" s="1126"/>
      <c r="AA379" s="1126"/>
    </row>
    <row r="380" ht="15.75" customHeight="1">
      <c r="A380" s="1126"/>
      <c r="B380" s="1126"/>
      <c r="C380" s="1126"/>
      <c r="D380" s="1126"/>
      <c r="E380" s="1126"/>
      <c r="F380" s="1126"/>
      <c r="G380" s="1126"/>
      <c r="H380" s="1126"/>
      <c r="I380" s="1126"/>
      <c r="J380" s="1126"/>
      <c r="K380" s="1126"/>
      <c r="L380" s="1126"/>
      <c r="M380" s="1126"/>
      <c r="N380" s="1126"/>
      <c r="O380" s="1126"/>
      <c r="P380" s="1126"/>
      <c r="Q380" s="1126"/>
      <c r="R380" s="1126"/>
      <c r="S380" s="1126"/>
      <c r="T380" s="1126"/>
      <c r="U380" s="1126"/>
      <c r="V380" s="1126"/>
      <c r="W380" s="1126"/>
      <c r="X380" s="1126"/>
      <c r="Y380" s="1126"/>
      <c r="Z380" s="1126"/>
      <c r="AA380" s="1126"/>
    </row>
    <row r="381" ht="15.75" customHeight="1">
      <c r="A381" s="1126"/>
      <c r="B381" s="1126"/>
      <c r="C381" s="1126"/>
      <c r="D381" s="1126"/>
      <c r="E381" s="1126"/>
      <c r="F381" s="1126"/>
      <c r="G381" s="1126"/>
      <c r="H381" s="1126"/>
      <c r="I381" s="1126"/>
      <c r="J381" s="1126"/>
      <c r="K381" s="1126"/>
      <c r="L381" s="1126"/>
      <c r="M381" s="1126"/>
      <c r="N381" s="1126"/>
      <c r="O381" s="1126"/>
      <c r="P381" s="1126"/>
      <c r="Q381" s="1126"/>
      <c r="R381" s="1126"/>
      <c r="S381" s="1126"/>
      <c r="T381" s="1126"/>
      <c r="U381" s="1126"/>
      <c r="V381" s="1126"/>
      <c r="W381" s="1126"/>
      <c r="X381" s="1126"/>
      <c r="Y381" s="1126"/>
      <c r="Z381" s="1126"/>
      <c r="AA381" s="1126"/>
    </row>
    <row r="382" ht="15.75" customHeight="1">
      <c r="A382" s="1126"/>
      <c r="B382" s="1126"/>
      <c r="C382" s="1126"/>
      <c r="D382" s="1126"/>
      <c r="E382" s="1126"/>
      <c r="F382" s="1126"/>
      <c r="G382" s="1126"/>
      <c r="H382" s="1126"/>
      <c r="I382" s="1126"/>
      <c r="J382" s="1126"/>
      <c r="K382" s="1126"/>
      <c r="L382" s="1126"/>
      <c r="M382" s="1126"/>
      <c r="N382" s="1126"/>
      <c r="O382" s="1126"/>
      <c r="P382" s="1126"/>
      <c r="Q382" s="1126"/>
      <c r="R382" s="1126"/>
      <c r="S382" s="1126"/>
      <c r="T382" s="1126"/>
      <c r="U382" s="1126"/>
      <c r="V382" s="1126"/>
      <c r="W382" s="1126"/>
      <c r="X382" s="1126"/>
      <c r="Y382" s="1126"/>
      <c r="Z382" s="1126"/>
      <c r="AA382" s="1126"/>
    </row>
    <row r="383" ht="15.75" customHeight="1">
      <c r="A383" s="1126"/>
      <c r="B383" s="1126"/>
      <c r="C383" s="1126"/>
      <c r="D383" s="1126"/>
      <c r="E383" s="1126"/>
      <c r="F383" s="1126"/>
      <c r="G383" s="1126"/>
      <c r="H383" s="1126"/>
      <c r="I383" s="1126"/>
      <c r="J383" s="1126"/>
      <c r="K383" s="1126"/>
      <c r="L383" s="1126"/>
      <c r="M383" s="1126"/>
      <c r="N383" s="1126"/>
      <c r="O383" s="1126"/>
      <c r="P383" s="1126"/>
      <c r="Q383" s="1126"/>
      <c r="R383" s="1126"/>
      <c r="S383" s="1126"/>
      <c r="T383" s="1126"/>
      <c r="U383" s="1126"/>
      <c r="V383" s="1126"/>
      <c r="W383" s="1126"/>
      <c r="X383" s="1126"/>
      <c r="Y383" s="1126"/>
      <c r="Z383" s="1126"/>
      <c r="AA383" s="1126"/>
    </row>
    <row r="384" ht="15.75" customHeight="1">
      <c r="A384" s="1126"/>
      <c r="B384" s="1126"/>
      <c r="C384" s="1126"/>
      <c r="D384" s="1126"/>
      <c r="E384" s="1126"/>
      <c r="F384" s="1126"/>
      <c r="G384" s="1126"/>
      <c r="H384" s="1126"/>
      <c r="I384" s="1126"/>
      <c r="J384" s="1126"/>
      <c r="K384" s="1126"/>
      <c r="L384" s="1126"/>
      <c r="M384" s="1126"/>
      <c r="N384" s="1126"/>
      <c r="O384" s="1126"/>
      <c r="P384" s="1126"/>
      <c r="Q384" s="1126"/>
      <c r="R384" s="1126"/>
      <c r="S384" s="1126"/>
      <c r="T384" s="1126"/>
      <c r="U384" s="1126"/>
      <c r="V384" s="1126"/>
      <c r="W384" s="1126"/>
      <c r="X384" s="1126"/>
      <c r="Y384" s="1126"/>
      <c r="Z384" s="1126"/>
      <c r="AA384" s="1126"/>
    </row>
    <row r="385" ht="15.75" customHeight="1">
      <c r="A385" s="1126"/>
      <c r="B385" s="1126"/>
      <c r="C385" s="1126"/>
      <c r="D385" s="1126"/>
      <c r="E385" s="1126"/>
      <c r="F385" s="1126"/>
      <c r="G385" s="1126"/>
      <c r="H385" s="1126"/>
      <c r="I385" s="1126"/>
      <c r="J385" s="1126"/>
      <c r="K385" s="1126"/>
      <c r="L385" s="1126"/>
      <c r="M385" s="1126"/>
      <c r="N385" s="1126"/>
      <c r="O385" s="1126"/>
      <c r="P385" s="1126"/>
      <c r="Q385" s="1126"/>
      <c r="R385" s="1126"/>
      <c r="S385" s="1126"/>
      <c r="T385" s="1126"/>
      <c r="U385" s="1126"/>
      <c r="V385" s="1126"/>
      <c r="W385" s="1126"/>
      <c r="X385" s="1126"/>
      <c r="Y385" s="1126"/>
      <c r="Z385" s="1126"/>
      <c r="AA385" s="1126"/>
    </row>
    <row r="386" ht="15.75" customHeight="1">
      <c r="A386" s="1126"/>
      <c r="B386" s="1126"/>
      <c r="C386" s="1126"/>
      <c r="D386" s="1126"/>
      <c r="E386" s="1126"/>
      <c r="F386" s="1126"/>
      <c r="G386" s="1126"/>
      <c r="H386" s="1126"/>
      <c r="I386" s="1126"/>
      <c r="J386" s="1126"/>
      <c r="K386" s="1126"/>
      <c r="L386" s="1126"/>
      <c r="M386" s="1126"/>
      <c r="N386" s="1126"/>
      <c r="O386" s="1126"/>
      <c r="P386" s="1126"/>
      <c r="Q386" s="1126"/>
      <c r="R386" s="1126"/>
      <c r="S386" s="1126"/>
      <c r="T386" s="1126"/>
      <c r="U386" s="1126"/>
      <c r="V386" s="1126"/>
      <c r="W386" s="1126"/>
      <c r="X386" s="1126"/>
      <c r="Y386" s="1126"/>
      <c r="Z386" s="1126"/>
      <c r="AA386" s="1126"/>
    </row>
    <row r="387" ht="15.75" customHeight="1">
      <c r="A387" s="1126"/>
      <c r="B387" s="1126"/>
      <c r="C387" s="1126"/>
      <c r="D387" s="1126"/>
      <c r="E387" s="1126"/>
      <c r="F387" s="1126"/>
      <c r="G387" s="1126"/>
      <c r="H387" s="1126"/>
      <c r="I387" s="1126"/>
      <c r="J387" s="1126"/>
      <c r="K387" s="1126"/>
      <c r="L387" s="1126"/>
      <c r="M387" s="1126"/>
      <c r="N387" s="1126"/>
      <c r="O387" s="1126"/>
      <c r="P387" s="1126"/>
      <c r="Q387" s="1126"/>
      <c r="R387" s="1126"/>
      <c r="S387" s="1126"/>
      <c r="T387" s="1126"/>
      <c r="U387" s="1126"/>
      <c r="V387" s="1126"/>
      <c r="W387" s="1126"/>
      <c r="X387" s="1126"/>
      <c r="Y387" s="1126"/>
      <c r="Z387" s="1126"/>
      <c r="AA387" s="1126"/>
    </row>
    <row r="388" ht="15.75" customHeight="1">
      <c r="A388" s="1126"/>
      <c r="B388" s="1126"/>
      <c r="C388" s="1126"/>
      <c r="D388" s="1126"/>
      <c r="E388" s="1126"/>
      <c r="F388" s="1126"/>
      <c r="G388" s="1126"/>
      <c r="H388" s="1126"/>
      <c r="I388" s="1126"/>
      <c r="J388" s="1126"/>
      <c r="K388" s="1126"/>
      <c r="L388" s="1126"/>
      <c r="M388" s="1126"/>
      <c r="N388" s="1126"/>
      <c r="O388" s="1126"/>
      <c r="P388" s="1126"/>
      <c r="Q388" s="1126"/>
      <c r="R388" s="1126"/>
      <c r="S388" s="1126"/>
      <c r="T388" s="1126"/>
      <c r="U388" s="1126"/>
      <c r="V388" s="1126"/>
      <c r="W388" s="1126"/>
      <c r="X388" s="1126"/>
      <c r="Y388" s="1126"/>
      <c r="Z388" s="1126"/>
      <c r="AA388" s="1126"/>
    </row>
    <row r="389" ht="15.75" customHeight="1">
      <c r="A389" s="1126"/>
      <c r="B389" s="1126"/>
      <c r="C389" s="1126"/>
      <c r="D389" s="1126"/>
      <c r="E389" s="1126"/>
      <c r="F389" s="1126"/>
      <c r="G389" s="1126"/>
      <c r="H389" s="1126"/>
      <c r="I389" s="1126"/>
      <c r="J389" s="1126"/>
      <c r="K389" s="1126"/>
      <c r="L389" s="1126"/>
      <c r="M389" s="1126"/>
      <c r="N389" s="1126"/>
      <c r="O389" s="1126"/>
      <c r="P389" s="1126"/>
      <c r="Q389" s="1126"/>
      <c r="R389" s="1126"/>
      <c r="S389" s="1126"/>
      <c r="T389" s="1126"/>
      <c r="U389" s="1126"/>
      <c r="V389" s="1126"/>
      <c r="W389" s="1126"/>
      <c r="X389" s="1126"/>
      <c r="Y389" s="1126"/>
      <c r="Z389" s="1126"/>
      <c r="AA389" s="1126"/>
    </row>
    <row r="390" ht="15.75" customHeight="1">
      <c r="A390" s="1126"/>
      <c r="B390" s="1126"/>
      <c r="C390" s="1126"/>
      <c r="D390" s="1126"/>
      <c r="E390" s="1126"/>
      <c r="F390" s="1126"/>
      <c r="G390" s="1126"/>
      <c r="H390" s="1126"/>
      <c r="I390" s="1126"/>
      <c r="J390" s="1126"/>
      <c r="K390" s="1126"/>
      <c r="L390" s="1126"/>
      <c r="M390" s="1126"/>
      <c r="N390" s="1126"/>
      <c r="O390" s="1126"/>
      <c r="P390" s="1126"/>
      <c r="Q390" s="1126"/>
      <c r="R390" s="1126"/>
      <c r="S390" s="1126"/>
      <c r="T390" s="1126"/>
      <c r="U390" s="1126"/>
      <c r="V390" s="1126"/>
      <c r="W390" s="1126"/>
      <c r="X390" s="1126"/>
      <c r="Y390" s="1126"/>
      <c r="Z390" s="1126"/>
      <c r="AA390" s="1126"/>
    </row>
    <row r="391" ht="15.75" customHeight="1">
      <c r="A391" s="1126"/>
      <c r="B391" s="1126"/>
      <c r="C391" s="1126"/>
      <c r="D391" s="1126"/>
      <c r="E391" s="1126"/>
      <c r="F391" s="1126"/>
      <c r="G391" s="1126"/>
      <c r="H391" s="1126"/>
      <c r="I391" s="1126"/>
      <c r="J391" s="1126"/>
      <c r="K391" s="1126"/>
      <c r="L391" s="1126"/>
      <c r="M391" s="1126"/>
      <c r="N391" s="1126"/>
      <c r="O391" s="1126"/>
      <c r="P391" s="1126"/>
      <c r="Q391" s="1126"/>
      <c r="R391" s="1126"/>
      <c r="S391" s="1126"/>
      <c r="T391" s="1126"/>
      <c r="U391" s="1126"/>
      <c r="V391" s="1126"/>
      <c r="W391" s="1126"/>
      <c r="X391" s="1126"/>
      <c r="Y391" s="1126"/>
      <c r="Z391" s="1126"/>
      <c r="AA391" s="1126"/>
    </row>
    <row r="392" ht="15.75" customHeight="1">
      <c r="A392" s="1126"/>
      <c r="B392" s="1126"/>
      <c r="C392" s="1126"/>
      <c r="D392" s="1126"/>
      <c r="E392" s="1126"/>
      <c r="F392" s="1126"/>
      <c r="G392" s="1126"/>
      <c r="H392" s="1126"/>
      <c r="I392" s="1126"/>
      <c r="J392" s="1126"/>
      <c r="K392" s="1126"/>
      <c r="L392" s="1126"/>
      <c r="M392" s="1126"/>
      <c r="N392" s="1126"/>
      <c r="O392" s="1126"/>
      <c r="P392" s="1126"/>
      <c r="Q392" s="1126"/>
      <c r="R392" s="1126"/>
      <c r="S392" s="1126"/>
      <c r="T392" s="1126"/>
      <c r="U392" s="1126"/>
      <c r="V392" s="1126"/>
      <c r="W392" s="1126"/>
      <c r="X392" s="1126"/>
      <c r="Y392" s="1126"/>
      <c r="Z392" s="1126"/>
      <c r="AA392" s="1126"/>
    </row>
    <row r="393" ht="15.75" customHeight="1">
      <c r="A393" s="1126"/>
      <c r="B393" s="1126"/>
      <c r="C393" s="1126"/>
      <c r="D393" s="1126"/>
      <c r="E393" s="1126"/>
      <c r="F393" s="1126"/>
      <c r="G393" s="1126"/>
      <c r="H393" s="1126"/>
      <c r="I393" s="1126"/>
      <c r="J393" s="1126"/>
      <c r="K393" s="1126"/>
      <c r="L393" s="1126"/>
      <c r="M393" s="1126"/>
      <c r="N393" s="1126"/>
      <c r="O393" s="1126"/>
      <c r="P393" s="1126"/>
      <c r="Q393" s="1126"/>
      <c r="R393" s="1126"/>
      <c r="S393" s="1126"/>
      <c r="T393" s="1126"/>
      <c r="U393" s="1126"/>
      <c r="V393" s="1126"/>
      <c r="W393" s="1126"/>
      <c r="X393" s="1126"/>
      <c r="Y393" s="1126"/>
      <c r="Z393" s="1126"/>
      <c r="AA393" s="1126"/>
    </row>
    <row r="394" ht="15.75" customHeight="1">
      <c r="A394" s="1126"/>
      <c r="B394" s="1126"/>
      <c r="C394" s="1126"/>
      <c r="D394" s="1126"/>
      <c r="E394" s="1126"/>
      <c r="F394" s="1126"/>
      <c r="G394" s="1126"/>
      <c r="H394" s="1126"/>
      <c r="I394" s="1126"/>
      <c r="J394" s="1126"/>
      <c r="K394" s="1126"/>
      <c r="L394" s="1126"/>
      <c r="M394" s="1126"/>
      <c r="N394" s="1126"/>
      <c r="O394" s="1126"/>
      <c r="P394" s="1126"/>
      <c r="Q394" s="1126"/>
      <c r="R394" s="1126"/>
      <c r="S394" s="1126"/>
      <c r="T394" s="1126"/>
      <c r="U394" s="1126"/>
      <c r="V394" s="1126"/>
      <c r="W394" s="1126"/>
      <c r="X394" s="1126"/>
      <c r="Y394" s="1126"/>
      <c r="Z394" s="1126"/>
      <c r="AA394" s="1126"/>
    </row>
    <row r="395" ht="15.75" customHeight="1">
      <c r="A395" s="1126"/>
      <c r="B395" s="1126"/>
      <c r="C395" s="1126"/>
      <c r="D395" s="1126"/>
      <c r="E395" s="1126"/>
      <c r="F395" s="1126"/>
      <c r="G395" s="1126"/>
      <c r="H395" s="1126"/>
      <c r="I395" s="1126"/>
      <c r="J395" s="1126"/>
      <c r="K395" s="1126"/>
      <c r="L395" s="1126"/>
      <c r="M395" s="1126"/>
      <c r="N395" s="1126"/>
      <c r="O395" s="1126"/>
      <c r="P395" s="1126"/>
      <c r="Q395" s="1126"/>
      <c r="R395" s="1126"/>
      <c r="S395" s="1126"/>
      <c r="T395" s="1126"/>
      <c r="U395" s="1126"/>
      <c r="V395" s="1126"/>
      <c r="W395" s="1126"/>
      <c r="X395" s="1126"/>
      <c r="Y395" s="1126"/>
      <c r="Z395" s="1126"/>
      <c r="AA395" s="1126"/>
    </row>
    <row r="396" ht="15.75" customHeight="1">
      <c r="A396" s="1126"/>
      <c r="B396" s="1126"/>
      <c r="C396" s="1126"/>
      <c r="D396" s="1126"/>
      <c r="E396" s="1126"/>
      <c r="F396" s="1126"/>
      <c r="G396" s="1126"/>
      <c r="H396" s="1126"/>
      <c r="I396" s="1126"/>
      <c r="J396" s="1126"/>
      <c r="K396" s="1126"/>
      <c r="L396" s="1126"/>
      <c r="M396" s="1126"/>
      <c r="N396" s="1126"/>
      <c r="O396" s="1126"/>
      <c r="P396" s="1126"/>
      <c r="Q396" s="1126"/>
      <c r="R396" s="1126"/>
      <c r="S396" s="1126"/>
      <c r="T396" s="1126"/>
      <c r="U396" s="1126"/>
      <c r="V396" s="1126"/>
      <c r="W396" s="1126"/>
      <c r="X396" s="1126"/>
      <c r="Y396" s="1126"/>
      <c r="Z396" s="1126"/>
      <c r="AA396" s="1126"/>
    </row>
    <row r="397" ht="15.75" customHeight="1">
      <c r="A397" s="1126"/>
      <c r="B397" s="1126"/>
      <c r="C397" s="1126"/>
      <c r="D397" s="1126"/>
      <c r="E397" s="1126"/>
      <c r="F397" s="1126"/>
      <c r="G397" s="1126"/>
      <c r="H397" s="1126"/>
      <c r="I397" s="1126"/>
      <c r="J397" s="1126"/>
      <c r="K397" s="1126"/>
      <c r="L397" s="1126"/>
      <c r="M397" s="1126"/>
      <c r="N397" s="1126"/>
      <c r="O397" s="1126"/>
      <c r="P397" s="1126"/>
      <c r="Q397" s="1126"/>
      <c r="R397" s="1126"/>
      <c r="S397" s="1126"/>
      <c r="T397" s="1126"/>
      <c r="U397" s="1126"/>
      <c r="V397" s="1126"/>
      <c r="W397" s="1126"/>
      <c r="X397" s="1126"/>
      <c r="Y397" s="1126"/>
      <c r="Z397" s="1126"/>
      <c r="AA397" s="1126"/>
    </row>
    <row r="398" ht="15.75" customHeight="1">
      <c r="A398" s="1126"/>
      <c r="B398" s="1126"/>
      <c r="C398" s="1126"/>
      <c r="D398" s="1126"/>
      <c r="E398" s="1126"/>
      <c r="F398" s="1126"/>
      <c r="G398" s="1126"/>
      <c r="H398" s="1126"/>
      <c r="I398" s="1126"/>
      <c r="J398" s="1126"/>
      <c r="K398" s="1126"/>
      <c r="L398" s="1126"/>
      <c r="M398" s="1126"/>
      <c r="N398" s="1126"/>
      <c r="O398" s="1126"/>
      <c r="P398" s="1126"/>
      <c r="Q398" s="1126"/>
      <c r="R398" s="1126"/>
      <c r="S398" s="1126"/>
      <c r="T398" s="1126"/>
      <c r="U398" s="1126"/>
      <c r="V398" s="1126"/>
      <c r="W398" s="1126"/>
      <c r="X398" s="1126"/>
      <c r="Y398" s="1126"/>
      <c r="Z398" s="1126"/>
      <c r="AA398" s="1126"/>
    </row>
    <row r="399" ht="15.75" customHeight="1">
      <c r="A399" s="1126"/>
      <c r="B399" s="1126"/>
      <c r="C399" s="1126"/>
      <c r="D399" s="1126"/>
      <c r="E399" s="1126"/>
      <c r="F399" s="1126"/>
      <c r="G399" s="1126"/>
      <c r="H399" s="1126"/>
      <c r="I399" s="1126"/>
      <c r="J399" s="1126"/>
      <c r="K399" s="1126"/>
      <c r="L399" s="1126"/>
      <c r="M399" s="1126"/>
      <c r="N399" s="1126"/>
      <c r="O399" s="1126"/>
      <c r="P399" s="1126"/>
      <c r="Q399" s="1126"/>
      <c r="R399" s="1126"/>
      <c r="S399" s="1126"/>
      <c r="T399" s="1126"/>
      <c r="U399" s="1126"/>
      <c r="V399" s="1126"/>
      <c r="W399" s="1126"/>
      <c r="X399" s="1126"/>
      <c r="Y399" s="1126"/>
      <c r="Z399" s="1126"/>
      <c r="AA399" s="1126"/>
    </row>
    <row r="400" ht="15.75" customHeight="1">
      <c r="A400" s="1126"/>
      <c r="B400" s="1126"/>
      <c r="C400" s="1126"/>
      <c r="D400" s="1126"/>
      <c r="E400" s="1126"/>
      <c r="F400" s="1126"/>
      <c r="G400" s="1126"/>
      <c r="H400" s="1126"/>
      <c r="I400" s="1126"/>
      <c r="J400" s="1126"/>
      <c r="K400" s="1126"/>
      <c r="L400" s="1126"/>
      <c r="M400" s="1126"/>
      <c r="N400" s="1126"/>
      <c r="O400" s="1126"/>
      <c r="P400" s="1126"/>
      <c r="Q400" s="1126"/>
      <c r="R400" s="1126"/>
      <c r="S400" s="1126"/>
      <c r="T400" s="1126"/>
      <c r="U400" s="1126"/>
      <c r="V400" s="1126"/>
      <c r="W400" s="1126"/>
      <c r="X400" s="1126"/>
      <c r="Y400" s="1126"/>
      <c r="Z400" s="1126"/>
      <c r="AA400" s="1126"/>
    </row>
    <row r="401" ht="15.75" customHeight="1">
      <c r="A401" s="1126"/>
      <c r="B401" s="1126"/>
      <c r="C401" s="1126"/>
      <c r="D401" s="1126"/>
      <c r="E401" s="1126"/>
      <c r="F401" s="1126"/>
      <c r="G401" s="1126"/>
      <c r="H401" s="1126"/>
      <c r="I401" s="1126"/>
      <c r="J401" s="1126"/>
      <c r="K401" s="1126"/>
      <c r="L401" s="1126"/>
      <c r="M401" s="1126"/>
      <c r="N401" s="1126"/>
      <c r="O401" s="1126"/>
      <c r="P401" s="1126"/>
      <c r="Q401" s="1126"/>
      <c r="R401" s="1126"/>
      <c r="S401" s="1126"/>
      <c r="T401" s="1126"/>
      <c r="U401" s="1126"/>
      <c r="V401" s="1126"/>
      <c r="W401" s="1126"/>
      <c r="X401" s="1126"/>
      <c r="Y401" s="1126"/>
      <c r="Z401" s="1126"/>
      <c r="AA401" s="1126"/>
    </row>
    <row r="402" ht="15.75" customHeight="1">
      <c r="A402" s="1126"/>
      <c r="B402" s="1126"/>
      <c r="C402" s="1126"/>
      <c r="D402" s="1126"/>
      <c r="E402" s="1126"/>
      <c r="F402" s="1126"/>
      <c r="G402" s="1126"/>
      <c r="H402" s="1126"/>
      <c r="I402" s="1126"/>
      <c r="J402" s="1126"/>
      <c r="K402" s="1126"/>
      <c r="L402" s="1126"/>
      <c r="M402" s="1126"/>
      <c r="N402" s="1126"/>
      <c r="O402" s="1126"/>
      <c r="P402" s="1126"/>
      <c r="Q402" s="1126"/>
      <c r="R402" s="1126"/>
      <c r="S402" s="1126"/>
      <c r="T402" s="1126"/>
      <c r="U402" s="1126"/>
      <c r="V402" s="1126"/>
      <c r="W402" s="1126"/>
      <c r="X402" s="1126"/>
      <c r="Y402" s="1126"/>
      <c r="Z402" s="1126"/>
      <c r="AA402" s="1126"/>
    </row>
    <row r="403" ht="15.75" customHeight="1">
      <c r="A403" s="1126"/>
      <c r="B403" s="1126"/>
      <c r="C403" s="1126"/>
      <c r="D403" s="1126"/>
      <c r="E403" s="1126"/>
      <c r="F403" s="1126"/>
      <c r="G403" s="1126"/>
      <c r="H403" s="1126"/>
      <c r="I403" s="1126"/>
      <c r="J403" s="1126"/>
      <c r="K403" s="1126"/>
      <c r="L403" s="1126"/>
      <c r="M403" s="1126"/>
      <c r="N403" s="1126"/>
      <c r="O403" s="1126"/>
      <c r="P403" s="1126"/>
      <c r="Q403" s="1126"/>
      <c r="R403" s="1126"/>
      <c r="S403" s="1126"/>
      <c r="T403" s="1126"/>
      <c r="U403" s="1126"/>
      <c r="V403" s="1126"/>
      <c r="W403" s="1126"/>
      <c r="X403" s="1126"/>
      <c r="Y403" s="1126"/>
      <c r="Z403" s="1126"/>
      <c r="AA403" s="1126"/>
    </row>
    <row r="404" ht="15.75" customHeight="1">
      <c r="A404" s="1126"/>
      <c r="B404" s="1126"/>
      <c r="C404" s="1126"/>
      <c r="D404" s="1126"/>
      <c r="E404" s="1126"/>
      <c r="F404" s="1126"/>
      <c r="G404" s="1126"/>
      <c r="H404" s="1126"/>
      <c r="I404" s="1126"/>
      <c r="J404" s="1126"/>
      <c r="K404" s="1126"/>
      <c r="L404" s="1126"/>
      <c r="M404" s="1126"/>
      <c r="N404" s="1126"/>
      <c r="O404" s="1126"/>
      <c r="P404" s="1126"/>
      <c r="Q404" s="1126"/>
      <c r="R404" s="1126"/>
      <c r="S404" s="1126"/>
      <c r="T404" s="1126"/>
      <c r="U404" s="1126"/>
      <c r="V404" s="1126"/>
      <c r="W404" s="1126"/>
      <c r="X404" s="1126"/>
      <c r="Y404" s="1126"/>
      <c r="Z404" s="1126"/>
      <c r="AA404" s="1126"/>
    </row>
    <row r="405" ht="15.75" customHeight="1">
      <c r="A405" s="1126"/>
      <c r="B405" s="1126"/>
      <c r="C405" s="1126"/>
      <c r="D405" s="1126"/>
      <c r="E405" s="1126"/>
      <c r="F405" s="1126"/>
      <c r="G405" s="1126"/>
      <c r="H405" s="1126"/>
      <c r="I405" s="1126"/>
      <c r="J405" s="1126"/>
      <c r="K405" s="1126"/>
      <c r="L405" s="1126"/>
      <c r="M405" s="1126"/>
      <c r="N405" s="1126"/>
      <c r="O405" s="1126"/>
      <c r="P405" s="1126"/>
      <c r="Q405" s="1126"/>
      <c r="R405" s="1126"/>
      <c r="S405" s="1126"/>
      <c r="T405" s="1126"/>
      <c r="U405" s="1126"/>
      <c r="V405" s="1126"/>
      <c r="W405" s="1126"/>
      <c r="X405" s="1126"/>
      <c r="Y405" s="1126"/>
      <c r="Z405" s="1126"/>
      <c r="AA405" s="1126"/>
    </row>
    <row r="406" ht="15.75" customHeight="1">
      <c r="A406" s="1126"/>
      <c r="B406" s="1126"/>
      <c r="C406" s="1126"/>
      <c r="D406" s="1126"/>
      <c r="E406" s="1126"/>
      <c r="F406" s="1126"/>
      <c r="G406" s="1126"/>
      <c r="H406" s="1126"/>
      <c r="I406" s="1126"/>
      <c r="J406" s="1126"/>
      <c r="K406" s="1126"/>
      <c r="L406" s="1126"/>
      <c r="M406" s="1126"/>
      <c r="N406" s="1126"/>
      <c r="O406" s="1126"/>
      <c r="P406" s="1126"/>
      <c r="Q406" s="1126"/>
      <c r="R406" s="1126"/>
      <c r="S406" s="1126"/>
      <c r="T406" s="1126"/>
      <c r="U406" s="1126"/>
      <c r="V406" s="1126"/>
      <c r="W406" s="1126"/>
      <c r="X406" s="1126"/>
      <c r="Y406" s="1126"/>
      <c r="Z406" s="1126"/>
      <c r="AA406" s="1126"/>
    </row>
    <row r="407" ht="15.75" customHeight="1">
      <c r="A407" s="1126"/>
      <c r="B407" s="1126"/>
      <c r="C407" s="1126"/>
      <c r="D407" s="1126"/>
      <c r="E407" s="1126"/>
      <c r="F407" s="1126"/>
      <c r="G407" s="1126"/>
      <c r="H407" s="1126"/>
      <c r="I407" s="1126"/>
      <c r="J407" s="1126"/>
      <c r="K407" s="1126"/>
      <c r="L407" s="1126"/>
      <c r="M407" s="1126"/>
      <c r="N407" s="1126"/>
      <c r="O407" s="1126"/>
      <c r="P407" s="1126"/>
      <c r="Q407" s="1126"/>
      <c r="R407" s="1126"/>
      <c r="S407" s="1126"/>
      <c r="T407" s="1126"/>
      <c r="U407" s="1126"/>
      <c r="V407" s="1126"/>
      <c r="W407" s="1126"/>
      <c r="X407" s="1126"/>
      <c r="Y407" s="1126"/>
      <c r="Z407" s="1126"/>
      <c r="AA407" s="1126"/>
    </row>
    <row r="408" ht="15.75" customHeight="1">
      <c r="A408" s="1126"/>
      <c r="B408" s="1126"/>
      <c r="C408" s="1126"/>
      <c r="D408" s="1126"/>
      <c r="E408" s="1126"/>
      <c r="F408" s="1126"/>
      <c r="G408" s="1126"/>
      <c r="H408" s="1126"/>
      <c r="I408" s="1126"/>
      <c r="J408" s="1126"/>
      <c r="K408" s="1126"/>
      <c r="L408" s="1126"/>
      <c r="M408" s="1126"/>
      <c r="N408" s="1126"/>
      <c r="O408" s="1126"/>
      <c r="P408" s="1126"/>
      <c r="Q408" s="1126"/>
      <c r="R408" s="1126"/>
      <c r="S408" s="1126"/>
      <c r="T408" s="1126"/>
      <c r="U408" s="1126"/>
      <c r="V408" s="1126"/>
      <c r="W408" s="1126"/>
      <c r="X408" s="1126"/>
      <c r="Y408" s="1126"/>
      <c r="Z408" s="1126"/>
      <c r="AA408" s="1126"/>
    </row>
    <row r="409" ht="15.75" customHeight="1">
      <c r="A409" s="1126"/>
      <c r="B409" s="1126"/>
      <c r="C409" s="1126"/>
      <c r="D409" s="1126"/>
      <c r="E409" s="1126"/>
      <c r="F409" s="1126"/>
      <c r="G409" s="1126"/>
      <c r="H409" s="1126"/>
      <c r="I409" s="1126"/>
      <c r="J409" s="1126"/>
      <c r="K409" s="1126"/>
      <c r="L409" s="1126"/>
      <c r="M409" s="1126"/>
      <c r="N409" s="1126"/>
      <c r="O409" s="1126"/>
      <c r="P409" s="1126"/>
      <c r="Q409" s="1126"/>
      <c r="R409" s="1126"/>
      <c r="S409" s="1126"/>
      <c r="T409" s="1126"/>
      <c r="U409" s="1126"/>
      <c r="V409" s="1126"/>
      <c r="W409" s="1126"/>
      <c r="X409" s="1126"/>
      <c r="Y409" s="1126"/>
      <c r="Z409" s="1126"/>
      <c r="AA409" s="1126"/>
    </row>
    <row r="410" ht="15.75" customHeight="1">
      <c r="A410" s="1126"/>
      <c r="B410" s="1126"/>
      <c r="C410" s="1126"/>
      <c r="D410" s="1126"/>
      <c r="E410" s="1126"/>
      <c r="F410" s="1126"/>
      <c r="G410" s="1126"/>
      <c r="H410" s="1126"/>
      <c r="I410" s="1126"/>
      <c r="J410" s="1126"/>
      <c r="K410" s="1126"/>
      <c r="L410" s="1126"/>
      <c r="M410" s="1126"/>
      <c r="N410" s="1126"/>
      <c r="O410" s="1126"/>
      <c r="P410" s="1126"/>
      <c r="Q410" s="1126"/>
      <c r="R410" s="1126"/>
      <c r="S410" s="1126"/>
      <c r="T410" s="1126"/>
      <c r="U410" s="1126"/>
      <c r="V410" s="1126"/>
      <c r="W410" s="1126"/>
      <c r="X410" s="1126"/>
      <c r="Y410" s="1126"/>
      <c r="Z410" s="1126"/>
      <c r="AA410" s="1126"/>
    </row>
    <row r="411" ht="15.75" customHeight="1">
      <c r="A411" s="1126"/>
      <c r="B411" s="1126"/>
      <c r="C411" s="1126"/>
      <c r="D411" s="1126"/>
      <c r="E411" s="1126"/>
      <c r="F411" s="1126"/>
      <c r="G411" s="1126"/>
      <c r="H411" s="1126"/>
      <c r="I411" s="1126"/>
      <c r="J411" s="1126"/>
      <c r="K411" s="1126"/>
      <c r="L411" s="1126"/>
      <c r="M411" s="1126"/>
      <c r="N411" s="1126"/>
      <c r="O411" s="1126"/>
      <c r="P411" s="1126"/>
      <c r="Q411" s="1126"/>
      <c r="R411" s="1126"/>
      <c r="S411" s="1126"/>
      <c r="T411" s="1126"/>
      <c r="U411" s="1126"/>
      <c r="V411" s="1126"/>
      <c r="W411" s="1126"/>
      <c r="X411" s="1126"/>
      <c r="Y411" s="1126"/>
      <c r="Z411" s="1126"/>
      <c r="AA411" s="1126"/>
    </row>
    <row r="412" ht="15.75" customHeight="1">
      <c r="A412" s="1126"/>
      <c r="B412" s="1126"/>
      <c r="C412" s="1126"/>
      <c r="D412" s="1126"/>
      <c r="E412" s="1126"/>
      <c r="F412" s="1126"/>
      <c r="G412" s="1126"/>
      <c r="H412" s="1126"/>
      <c r="I412" s="1126"/>
      <c r="J412" s="1126"/>
      <c r="K412" s="1126"/>
      <c r="L412" s="1126"/>
      <c r="M412" s="1126"/>
      <c r="N412" s="1126"/>
      <c r="O412" s="1126"/>
      <c r="P412" s="1126"/>
      <c r="Q412" s="1126"/>
      <c r="R412" s="1126"/>
      <c r="S412" s="1126"/>
      <c r="T412" s="1126"/>
      <c r="U412" s="1126"/>
      <c r="V412" s="1126"/>
      <c r="W412" s="1126"/>
      <c r="X412" s="1126"/>
      <c r="Y412" s="1126"/>
      <c r="Z412" s="1126"/>
      <c r="AA412" s="1126"/>
    </row>
    <row r="413" ht="15.75" customHeight="1">
      <c r="A413" s="1126"/>
      <c r="B413" s="1126"/>
      <c r="C413" s="1126"/>
      <c r="D413" s="1126"/>
      <c r="E413" s="1126"/>
      <c r="F413" s="1126"/>
      <c r="G413" s="1126"/>
      <c r="H413" s="1126"/>
      <c r="I413" s="1126"/>
      <c r="J413" s="1126"/>
      <c r="K413" s="1126"/>
      <c r="L413" s="1126"/>
      <c r="M413" s="1126"/>
      <c r="N413" s="1126"/>
      <c r="O413" s="1126"/>
      <c r="P413" s="1126"/>
      <c r="Q413" s="1126"/>
      <c r="R413" s="1126"/>
      <c r="S413" s="1126"/>
      <c r="T413" s="1126"/>
      <c r="U413" s="1126"/>
      <c r="V413" s="1126"/>
      <c r="W413" s="1126"/>
      <c r="X413" s="1126"/>
      <c r="Y413" s="1126"/>
      <c r="Z413" s="1126"/>
      <c r="AA413" s="1126"/>
    </row>
    <row r="414" ht="15.75" customHeight="1">
      <c r="A414" s="1126"/>
      <c r="B414" s="1126"/>
      <c r="C414" s="1126"/>
      <c r="D414" s="1126"/>
      <c r="E414" s="1126"/>
      <c r="F414" s="1126"/>
      <c r="G414" s="1126"/>
      <c r="H414" s="1126"/>
      <c r="I414" s="1126"/>
      <c r="J414" s="1126"/>
      <c r="K414" s="1126"/>
      <c r="L414" s="1126"/>
      <c r="M414" s="1126"/>
      <c r="N414" s="1126"/>
      <c r="O414" s="1126"/>
      <c r="P414" s="1126"/>
      <c r="Q414" s="1126"/>
      <c r="R414" s="1126"/>
      <c r="S414" s="1126"/>
      <c r="T414" s="1126"/>
      <c r="U414" s="1126"/>
      <c r="V414" s="1126"/>
      <c r="W414" s="1126"/>
      <c r="X414" s="1126"/>
      <c r="Y414" s="1126"/>
      <c r="Z414" s="1126"/>
      <c r="AA414" s="1126"/>
    </row>
    <row r="415" ht="15.75" customHeight="1">
      <c r="A415" s="1126"/>
      <c r="B415" s="1126"/>
      <c r="C415" s="1126"/>
      <c r="D415" s="1126"/>
      <c r="E415" s="1126"/>
      <c r="F415" s="1126"/>
      <c r="G415" s="1126"/>
      <c r="H415" s="1126"/>
      <c r="I415" s="1126"/>
      <c r="J415" s="1126"/>
      <c r="K415" s="1126"/>
      <c r="L415" s="1126"/>
      <c r="M415" s="1126"/>
      <c r="N415" s="1126"/>
      <c r="O415" s="1126"/>
      <c r="P415" s="1126"/>
      <c r="Q415" s="1126"/>
      <c r="R415" s="1126"/>
      <c r="S415" s="1126"/>
      <c r="T415" s="1126"/>
      <c r="U415" s="1126"/>
      <c r="V415" s="1126"/>
      <c r="W415" s="1126"/>
      <c r="X415" s="1126"/>
      <c r="Y415" s="1126"/>
      <c r="Z415" s="1126"/>
      <c r="AA415" s="1126"/>
    </row>
    <row r="416" ht="15.75" customHeight="1">
      <c r="A416" s="1126"/>
      <c r="B416" s="1126"/>
      <c r="C416" s="1126"/>
      <c r="D416" s="1126"/>
      <c r="E416" s="1126"/>
      <c r="F416" s="1126"/>
      <c r="G416" s="1126"/>
      <c r="H416" s="1126"/>
      <c r="I416" s="1126"/>
      <c r="J416" s="1126"/>
      <c r="K416" s="1126"/>
      <c r="L416" s="1126"/>
      <c r="M416" s="1126"/>
      <c r="N416" s="1126"/>
      <c r="O416" s="1126"/>
      <c r="P416" s="1126"/>
      <c r="Q416" s="1126"/>
      <c r="R416" s="1126"/>
      <c r="S416" s="1126"/>
      <c r="T416" s="1126"/>
      <c r="U416" s="1126"/>
      <c r="V416" s="1126"/>
      <c r="W416" s="1126"/>
      <c r="X416" s="1126"/>
      <c r="Y416" s="1126"/>
      <c r="Z416" s="1126"/>
      <c r="AA416" s="1126"/>
    </row>
    <row r="417" ht="15.75" customHeight="1">
      <c r="A417" s="1126"/>
      <c r="B417" s="1126"/>
      <c r="C417" s="1126"/>
      <c r="D417" s="1126"/>
      <c r="E417" s="1126"/>
      <c r="F417" s="1126"/>
      <c r="G417" s="1126"/>
      <c r="H417" s="1126"/>
      <c r="I417" s="1126"/>
      <c r="J417" s="1126"/>
      <c r="K417" s="1126"/>
      <c r="L417" s="1126"/>
      <c r="M417" s="1126"/>
      <c r="N417" s="1126"/>
      <c r="O417" s="1126"/>
      <c r="P417" s="1126"/>
      <c r="Q417" s="1126"/>
      <c r="R417" s="1126"/>
      <c r="S417" s="1126"/>
      <c r="T417" s="1126"/>
      <c r="U417" s="1126"/>
      <c r="V417" s="1126"/>
      <c r="W417" s="1126"/>
      <c r="X417" s="1126"/>
      <c r="Y417" s="1126"/>
      <c r="Z417" s="1126"/>
      <c r="AA417" s="1126"/>
    </row>
    <row r="418" ht="15.75" customHeight="1">
      <c r="A418" s="1126"/>
      <c r="B418" s="1126"/>
      <c r="C418" s="1126"/>
      <c r="D418" s="1126"/>
      <c r="E418" s="1126"/>
      <c r="F418" s="1126"/>
      <c r="G418" s="1126"/>
      <c r="H418" s="1126"/>
      <c r="I418" s="1126"/>
      <c r="J418" s="1126"/>
      <c r="K418" s="1126"/>
      <c r="L418" s="1126"/>
      <c r="M418" s="1126"/>
      <c r="N418" s="1126"/>
      <c r="O418" s="1126"/>
      <c r="P418" s="1126"/>
      <c r="Q418" s="1126"/>
      <c r="R418" s="1126"/>
      <c r="S418" s="1126"/>
      <c r="T418" s="1126"/>
      <c r="U418" s="1126"/>
      <c r="V418" s="1126"/>
      <c r="W418" s="1126"/>
      <c r="X418" s="1126"/>
      <c r="Y418" s="1126"/>
      <c r="Z418" s="1126"/>
      <c r="AA418" s="1126"/>
    </row>
    <row r="419" ht="15.75" customHeight="1">
      <c r="A419" s="1126"/>
      <c r="B419" s="1126"/>
      <c r="C419" s="1126"/>
      <c r="D419" s="1126"/>
      <c r="E419" s="1126"/>
      <c r="F419" s="1126"/>
      <c r="G419" s="1126"/>
      <c r="H419" s="1126"/>
      <c r="I419" s="1126"/>
      <c r="J419" s="1126"/>
      <c r="K419" s="1126"/>
      <c r="L419" s="1126"/>
      <c r="M419" s="1126"/>
      <c r="N419" s="1126"/>
      <c r="O419" s="1126"/>
      <c r="P419" s="1126"/>
      <c r="Q419" s="1126"/>
      <c r="R419" s="1126"/>
      <c r="S419" s="1126"/>
      <c r="T419" s="1126"/>
      <c r="U419" s="1126"/>
      <c r="V419" s="1126"/>
      <c r="W419" s="1126"/>
      <c r="X419" s="1126"/>
      <c r="Y419" s="1126"/>
      <c r="Z419" s="1126"/>
      <c r="AA419" s="1126"/>
    </row>
    <row r="420" ht="15.75" customHeight="1">
      <c r="A420" s="1126"/>
      <c r="B420" s="1126"/>
      <c r="C420" s="1126"/>
      <c r="D420" s="1126"/>
      <c r="E420" s="1126"/>
      <c r="F420" s="1126"/>
      <c r="G420" s="1126"/>
      <c r="H420" s="1126"/>
      <c r="I420" s="1126"/>
      <c r="J420" s="1126"/>
      <c r="K420" s="1126"/>
      <c r="L420" s="1126"/>
      <c r="M420" s="1126"/>
      <c r="N420" s="1126"/>
      <c r="O420" s="1126"/>
      <c r="P420" s="1126"/>
      <c r="Q420" s="1126"/>
      <c r="R420" s="1126"/>
      <c r="S420" s="1126"/>
      <c r="T420" s="1126"/>
      <c r="U420" s="1126"/>
      <c r="V420" s="1126"/>
      <c r="W420" s="1126"/>
      <c r="X420" s="1126"/>
      <c r="Y420" s="1126"/>
      <c r="Z420" s="1126"/>
      <c r="AA420" s="1126"/>
    </row>
    <row r="421" ht="15.75" customHeight="1">
      <c r="A421" s="1126"/>
      <c r="B421" s="1126"/>
      <c r="C421" s="1126"/>
      <c r="D421" s="1126"/>
      <c r="E421" s="1126"/>
      <c r="F421" s="1126"/>
      <c r="G421" s="1126"/>
      <c r="H421" s="1126"/>
      <c r="I421" s="1126"/>
      <c r="J421" s="1126"/>
      <c r="K421" s="1126"/>
      <c r="L421" s="1126"/>
      <c r="M421" s="1126"/>
      <c r="N421" s="1126"/>
      <c r="O421" s="1126"/>
      <c r="P421" s="1126"/>
      <c r="Q421" s="1126"/>
      <c r="R421" s="1126"/>
      <c r="S421" s="1126"/>
      <c r="T421" s="1126"/>
      <c r="U421" s="1126"/>
      <c r="V421" s="1126"/>
      <c r="W421" s="1126"/>
      <c r="X421" s="1126"/>
      <c r="Y421" s="1126"/>
      <c r="Z421" s="1126"/>
      <c r="AA421" s="1126"/>
    </row>
    <row r="422" ht="15.75" customHeight="1">
      <c r="A422" s="1126"/>
      <c r="B422" s="1126"/>
      <c r="C422" s="1126"/>
      <c r="D422" s="1126"/>
      <c r="E422" s="1126"/>
      <c r="F422" s="1126"/>
      <c r="G422" s="1126"/>
      <c r="H422" s="1126"/>
      <c r="I422" s="1126"/>
      <c r="J422" s="1126"/>
      <c r="K422" s="1126"/>
      <c r="L422" s="1126"/>
      <c r="M422" s="1126"/>
      <c r="N422" s="1126"/>
      <c r="O422" s="1126"/>
      <c r="P422" s="1126"/>
      <c r="Q422" s="1126"/>
      <c r="R422" s="1126"/>
      <c r="S422" s="1126"/>
      <c r="T422" s="1126"/>
      <c r="U422" s="1126"/>
      <c r="V422" s="1126"/>
      <c r="W422" s="1126"/>
      <c r="X422" s="1126"/>
      <c r="Y422" s="1126"/>
      <c r="Z422" s="1126"/>
      <c r="AA422" s="1126"/>
    </row>
    <row r="423" ht="15.75" customHeight="1">
      <c r="A423" s="1126"/>
      <c r="B423" s="1126"/>
      <c r="C423" s="1126"/>
      <c r="D423" s="1126"/>
      <c r="E423" s="1126"/>
      <c r="F423" s="1126"/>
      <c r="G423" s="1126"/>
      <c r="H423" s="1126"/>
      <c r="I423" s="1126"/>
      <c r="J423" s="1126"/>
      <c r="K423" s="1126"/>
      <c r="L423" s="1126"/>
      <c r="M423" s="1126"/>
      <c r="N423" s="1126"/>
      <c r="O423" s="1126"/>
      <c r="P423" s="1126"/>
      <c r="Q423" s="1126"/>
      <c r="R423" s="1126"/>
      <c r="S423" s="1126"/>
      <c r="T423" s="1126"/>
      <c r="U423" s="1126"/>
      <c r="V423" s="1126"/>
      <c r="W423" s="1126"/>
      <c r="X423" s="1126"/>
      <c r="Y423" s="1126"/>
      <c r="Z423" s="1126"/>
      <c r="AA423" s="1126"/>
    </row>
    <row r="424" ht="15.75" customHeight="1">
      <c r="A424" s="1126"/>
      <c r="B424" s="1126"/>
      <c r="C424" s="1126"/>
      <c r="D424" s="1126"/>
      <c r="E424" s="1126"/>
      <c r="F424" s="1126"/>
      <c r="G424" s="1126"/>
      <c r="H424" s="1126"/>
      <c r="I424" s="1126"/>
      <c r="J424" s="1126"/>
      <c r="K424" s="1126"/>
      <c r="L424" s="1126"/>
      <c r="M424" s="1126"/>
      <c r="N424" s="1126"/>
      <c r="O424" s="1126"/>
      <c r="P424" s="1126"/>
      <c r="Q424" s="1126"/>
      <c r="R424" s="1126"/>
      <c r="S424" s="1126"/>
      <c r="T424" s="1126"/>
      <c r="U424" s="1126"/>
      <c r="V424" s="1126"/>
      <c r="W424" s="1126"/>
      <c r="X424" s="1126"/>
      <c r="Y424" s="1126"/>
      <c r="Z424" s="1126"/>
      <c r="AA424" s="1126"/>
    </row>
    <row r="425" ht="15.75" customHeight="1">
      <c r="A425" s="1126"/>
      <c r="B425" s="1126"/>
      <c r="C425" s="1126"/>
      <c r="D425" s="1126"/>
      <c r="E425" s="1126"/>
      <c r="F425" s="1126"/>
      <c r="G425" s="1126"/>
      <c r="H425" s="1126"/>
      <c r="I425" s="1126"/>
      <c r="J425" s="1126"/>
      <c r="K425" s="1126"/>
      <c r="L425" s="1126"/>
      <c r="M425" s="1126"/>
      <c r="N425" s="1126"/>
      <c r="O425" s="1126"/>
      <c r="P425" s="1126"/>
      <c r="Q425" s="1126"/>
      <c r="R425" s="1126"/>
      <c r="S425" s="1126"/>
      <c r="T425" s="1126"/>
      <c r="U425" s="1126"/>
      <c r="V425" s="1126"/>
      <c r="W425" s="1126"/>
      <c r="X425" s="1126"/>
      <c r="Y425" s="1126"/>
      <c r="Z425" s="1126"/>
      <c r="AA425" s="1126"/>
    </row>
    <row r="426" ht="15.75" customHeight="1">
      <c r="A426" s="1126"/>
      <c r="B426" s="1126"/>
      <c r="C426" s="1126"/>
      <c r="D426" s="1126"/>
      <c r="E426" s="1126"/>
      <c r="F426" s="1126"/>
      <c r="G426" s="1126"/>
      <c r="H426" s="1126"/>
      <c r="I426" s="1126"/>
      <c r="J426" s="1126"/>
      <c r="K426" s="1126"/>
      <c r="L426" s="1126"/>
      <c r="M426" s="1126"/>
      <c r="N426" s="1126"/>
      <c r="O426" s="1126"/>
      <c r="P426" s="1126"/>
      <c r="Q426" s="1126"/>
      <c r="R426" s="1126"/>
      <c r="S426" s="1126"/>
      <c r="T426" s="1126"/>
      <c r="U426" s="1126"/>
      <c r="V426" s="1126"/>
      <c r="W426" s="1126"/>
      <c r="X426" s="1126"/>
      <c r="Y426" s="1126"/>
      <c r="Z426" s="1126"/>
      <c r="AA426" s="1126"/>
    </row>
    <row r="427" ht="15.75" customHeight="1">
      <c r="A427" s="1126"/>
      <c r="B427" s="1126"/>
      <c r="C427" s="1126"/>
      <c r="D427" s="1126"/>
      <c r="E427" s="1126"/>
      <c r="F427" s="1126"/>
      <c r="G427" s="1126"/>
      <c r="H427" s="1126"/>
      <c r="I427" s="1126"/>
      <c r="J427" s="1126"/>
      <c r="K427" s="1126"/>
      <c r="L427" s="1126"/>
      <c r="M427" s="1126"/>
      <c r="N427" s="1126"/>
      <c r="O427" s="1126"/>
      <c r="P427" s="1126"/>
      <c r="Q427" s="1126"/>
      <c r="R427" s="1126"/>
      <c r="S427" s="1126"/>
      <c r="T427" s="1126"/>
      <c r="U427" s="1126"/>
      <c r="V427" s="1126"/>
      <c r="W427" s="1126"/>
      <c r="X427" s="1126"/>
      <c r="Y427" s="1126"/>
      <c r="Z427" s="1126"/>
      <c r="AA427" s="1126"/>
    </row>
    <row r="428" ht="15.75" customHeight="1">
      <c r="A428" s="1126"/>
      <c r="B428" s="1126"/>
      <c r="C428" s="1126"/>
      <c r="D428" s="1126"/>
      <c r="E428" s="1126"/>
      <c r="F428" s="1126"/>
      <c r="G428" s="1126"/>
      <c r="H428" s="1126"/>
      <c r="I428" s="1126"/>
      <c r="J428" s="1126"/>
      <c r="K428" s="1126"/>
      <c r="L428" s="1126"/>
      <c r="M428" s="1126"/>
      <c r="N428" s="1126"/>
      <c r="O428" s="1126"/>
      <c r="P428" s="1126"/>
      <c r="Q428" s="1126"/>
      <c r="R428" s="1126"/>
      <c r="S428" s="1126"/>
      <c r="T428" s="1126"/>
      <c r="U428" s="1126"/>
      <c r="V428" s="1126"/>
      <c r="W428" s="1126"/>
      <c r="X428" s="1126"/>
      <c r="Y428" s="1126"/>
      <c r="Z428" s="1126"/>
      <c r="AA428" s="1126"/>
    </row>
    <row r="429" ht="15.75" customHeight="1">
      <c r="A429" s="1126"/>
      <c r="B429" s="1126"/>
      <c r="C429" s="1126"/>
      <c r="D429" s="1126"/>
      <c r="E429" s="1126"/>
      <c r="F429" s="1126"/>
      <c r="G429" s="1126"/>
      <c r="H429" s="1126"/>
      <c r="I429" s="1126"/>
      <c r="J429" s="1126"/>
      <c r="K429" s="1126"/>
      <c r="L429" s="1126"/>
      <c r="M429" s="1126"/>
      <c r="N429" s="1126"/>
      <c r="O429" s="1126"/>
      <c r="P429" s="1126"/>
      <c r="Q429" s="1126"/>
      <c r="R429" s="1126"/>
      <c r="S429" s="1126"/>
      <c r="T429" s="1126"/>
      <c r="U429" s="1126"/>
      <c r="V429" s="1126"/>
      <c r="W429" s="1126"/>
      <c r="X429" s="1126"/>
      <c r="Y429" s="1126"/>
      <c r="Z429" s="1126"/>
      <c r="AA429" s="1126"/>
    </row>
    <row r="430" ht="15.75" customHeight="1">
      <c r="A430" s="1126"/>
      <c r="B430" s="1126"/>
      <c r="C430" s="1126"/>
      <c r="D430" s="1126"/>
      <c r="E430" s="1126"/>
      <c r="F430" s="1126"/>
      <c r="G430" s="1126"/>
      <c r="H430" s="1126"/>
      <c r="I430" s="1126"/>
      <c r="J430" s="1126"/>
      <c r="K430" s="1126"/>
      <c r="L430" s="1126"/>
      <c r="M430" s="1126"/>
      <c r="N430" s="1126"/>
      <c r="O430" s="1126"/>
      <c r="P430" s="1126"/>
      <c r="Q430" s="1126"/>
      <c r="R430" s="1126"/>
      <c r="S430" s="1126"/>
      <c r="T430" s="1126"/>
      <c r="U430" s="1126"/>
      <c r="V430" s="1126"/>
      <c r="W430" s="1126"/>
      <c r="X430" s="1126"/>
      <c r="Y430" s="1126"/>
      <c r="Z430" s="1126"/>
      <c r="AA430" s="1126"/>
    </row>
    <row r="431" ht="15.75" customHeight="1">
      <c r="A431" s="1126"/>
      <c r="B431" s="1126"/>
      <c r="C431" s="1126"/>
      <c r="D431" s="1126"/>
      <c r="E431" s="1126"/>
      <c r="F431" s="1126"/>
      <c r="G431" s="1126"/>
      <c r="H431" s="1126"/>
      <c r="I431" s="1126"/>
      <c r="J431" s="1126"/>
      <c r="K431" s="1126"/>
      <c r="L431" s="1126"/>
      <c r="M431" s="1126"/>
      <c r="N431" s="1126"/>
      <c r="O431" s="1126"/>
      <c r="P431" s="1126"/>
      <c r="Q431" s="1126"/>
      <c r="R431" s="1126"/>
      <c r="S431" s="1126"/>
      <c r="T431" s="1126"/>
      <c r="U431" s="1126"/>
      <c r="V431" s="1126"/>
      <c r="W431" s="1126"/>
      <c r="X431" s="1126"/>
      <c r="Y431" s="1126"/>
      <c r="Z431" s="1126"/>
      <c r="AA431" s="1126"/>
    </row>
    <row r="432" ht="15.75" customHeight="1">
      <c r="A432" s="1126"/>
      <c r="B432" s="1126"/>
      <c r="C432" s="1126"/>
      <c r="D432" s="1126"/>
      <c r="E432" s="1126"/>
      <c r="F432" s="1126"/>
      <c r="G432" s="1126"/>
      <c r="H432" s="1126"/>
      <c r="I432" s="1126"/>
      <c r="J432" s="1126"/>
      <c r="K432" s="1126"/>
      <c r="L432" s="1126"/>
      <c r="M432" s="1126"/>
      <c r="N432" s="1126"/>
      <c r="O432" s="1126"/>
      <c r="P432" s="1126"/>
      <c r="Q432" s="1126"/>
      <c r="R432" s="1126"/>
      <c r="S432" s="1126"/>
      <c r="T432" s="1126"/>
      <c r="U432" s="1126"/>
      <c r="V432" s="1126"/>
      <c r="W432" s="1126"/>
      <c r="X432" s="1126"/>
      <c r="Y432" s="1126"/>
      <c r="Z432" s="1126"/>
      <c r="AA432" s="1126"/>
    </row>
    <row r="433" ht="15.75" customHeight="1">
      <c r="A433" s="1126"/>
      <c r="B433" s="1126"/>
      <c r="C433" s="1126"/>
      <c r="D433" s="1126"/>
      <c r="E433" s="1126"/>
      <c r="F433" s="1126"/>
      <c r="G433" s="1126"/>
      <c r="H433" s="1126"/>
      <c r="I433" s="1126"/>
      <c r="J433" s="1126"/>
      <c r="K433" s="1126"/>
      <c r="L433" s="1126"/>
      <c r="M433" s="1126"/>
      <c r="N433" s="1126"/>
      <c r="O433" s="1126"/>
      <c r="P433" s="1126"/>
      <c r="Q433" s="1126"/>
      <c r="R433" s="1126"/>
      <c r="S433" s="1126"/>
      <c r="T433" s="1126"/>
      <c r="U433" s="1126"/>
      <c r="V433" s="1126"/>
      <c r="W433" s="1126"/>
      <c r="X433" s="1126"/>
      <c r="Y433" s="1126"/>
      <c r="Z433" s="1126"/>
      <c r="AA433" s="1126"/>
    </row>
    <row r="434" ht="15.75" customHeight="1">
      <c r="A434" s="1126"/>
      <c r="B434" s="1126"/>
      <c r="C434" s="1126"/>
      <c r="D434" s="1126"/>
      <c r="E434" s="1126"/>
      <c r="F434" s="1126"/>
      <c r="G434" s="1126"/>
      <c r="H434" s="1126"/>
      <c r="I434" s="1126"/>
      <c r="J434" s="1126"/>
      <c r="K434" s="1126"/>
      <c r="L434" s="1126"/>
      <c r="M434" s="1126"/>
      <c r="N434" s="1126"/>
      <c r="O434" s="1126"/>
      <c r="P434" s="1126"/>
      <c r="Q434" s="1126"/>
      <c r="R434" s="1126"/>
      <c r="S434" s="1126"/>
      <c r="T434" s="1126"/>
      <c r="U434" s="1126"/>
      <c r="V434" s="1126"/>
      <c r="W434" s="1126"/>
      <c r="X434" s="1126"/>
      <c r="Y434" s="1126"/>
      <c r="Z434" s="1126"/>
      <c r="AA434" s="1126"/>
    </row>
    <row r="435" ht="15.75" customHeight="1">
      <c r="A435" s="1126"/>
      <c r="B435" s="1126"/>
      <c r="C435" s="1126"/>
      <c r="D435" s="1126"/>
      <c r="E435" s="1126"/>
      <c r="F435" s="1126"/>
      <c r="G435" s="1126"/>
      <c r="H435" s="1126"/>
      <c r="I435" s="1126"/>
      <c r="J435" s="1126"/>
      <c r="K435" s="1126"/>
      <c r="L435" s="1126"/>
      <c r="M435" s="1126"/>
      <c r="N435" s="1126"/>
      <c r="O435" s="1126"/>
      <c r="P435" s="1126"/>
      <c r="Q435" s="1126"/>
      <c r="R435" s="1126"/>
      <c r="S435" s="1126"/>
      <c r="T435" s="1126"/>
      <c r="U435" s="1126"/>
      <c r="V435" s="1126"/>
      <c r="W435" s="1126"/>
      <c r="X435" s="1126"/>
      <c r="Y435" s="1126"/>
      <c r="Z435" s="1126"/>
      <c r="AA435" s="1126"/>
    </row>
    <row r="436" ht="15.75" customHeight="1">
      <c r="A436" s="1126"/>
      <c r="B436" s="1126"/>
      <c r="C436" s="1126"/>
      <c r="D436" s="1126"/>
      <c r="E436" s="1126"/>
      <c r="F436" s="1126"/>
      <c r="G436" s="1126"/>
      <c r="H436" s="1126"/>
      <c r="I436" s="1126"/>
      <c r="J436" s="1126"/>
      <c r="K436" s="1126"/>
      <c r="L436" s="1126"/>
      <c r="M436" s="1126"/>
      <c r="N436" s="1126"/>
      <c r="O436" s="1126"/>
      <c r="P436" s="1126"/>
      <c r="Q436" s="1126"/>
      <c r="R436" s="1126"/>
      <c r="S436" s="1126"/>
      <c r="T436" s="1126"/>
      <c r="U436" s="1126"/>
      <c r="V436" s="1126"/>
      <c r="W436" s="1126"/>
      <c r="X436" s="1126"/>
      <c r="Y436" s="1126"/>
      <c r="Z436" s="1126"/>
      <c r="AA436" s="1126"/>
    </row>
    <row r="437" ht="15.75" customHeight="1">
      <c r="A437" s="1126"/>
      <c r="B437" s="1126"/>
      <c r="C437" s="1126"/>
      <c r="D437" s="1126"/>
      <c r="E437" s="1126"/>
      <c r="F437" s="1126"/>
      <c r="G437" s="1126"/>
      <c r="H437" s="1126"/>
      <c r="I437" s="1126"/>
      <c r="J437" s="1126"/>
      <c r="K437" s="1126"/>
      <c r="L437" s="1126"/>
      <c r="M437" s="1126"/>
      <c r="N437" s="1126"/>
      <c r="O437" s="1126"/>
      <c r="P437" s="1126"/>
      <c r="Q437" s="1126"/>
      <c r="R437" s="1126"/>
      <c r="S437" s="1126"/>
      <c r="T437" s="1126"/>
      <c r="U437" s="1126"/>
      <c r="V437" s="1126"/>
      <c r="W437" s="1126"/>
      <c r="X437" s="1126"/>
      <c r="Y437" s="1126"/>
      <c r="Z437" s="1126"/>
      <c r="AA437" s="1126"/>
    </row>
    <row r="438" ht="15.75" customHeight="1">
      <c r="A438" s="1126"/>
      <c r="B438" s="1126"/>
      <c r="C438" s="1126"/>
      <c r="D438" s="1126"/>
      <c r="E438" s="1126"/>
      <c r="F438" s="1126"/>
      <c r="G438" s="1126"/>
      <c r="H438" s="1126"/>
      <c r="I438" s="1126"/>
      <c r="J438" s="1126"/>
      <c r="K438" s="1126"/>
      <c r="L438" s="1126"/>
      <c r="M438" s="1126"/>
      <c r="N438" s="1126"/>
      <c r="O438" s="1126"/>
      <c r="P438" s="1126"/>
      <c r="Q438" s="1126"/>
      <c r="R438" s="1126"/>
      <c r="S438" s="1126"/>
      <c r="T438" s="1126"/>
      <c r="U438" s="1126"/>
      <c r="V438" s="1126"/>
      <c r="W438" s="1126"/>
      <c r="X438" s="1126"/>
      <c r="Y438" s="1126"/>
      <c r="Z438" s="1126"/>
      <c r="AA438" s="1126"/>
    </row>
    <row r="439" ht="15.75" customHeight="1">
      <c r="A439" s="1126"/>
      <c r="B439" s="1126"/>
      <c r="C439" s="1126"/>
      <c r="D439" s="1126"/>
      <c r="E439" s="1126"/>
      <c r="F439" s="1126"/>
      <c r="G439" s="1126"/>
      <c r="H439" s="1126"/>
      <c r="I439" s="1126"/>
      <c r="J439" s="1126"/>
      <c r="K439" s="1126"/>
      <c r="L439" s="1126"/>
      <c r="M439" s="1126"/>
      <c r="N439" s="1126"/>
      <c r="O439" s="1126"/>
      <c r="P439" s="1126"/>
      <c r="Q439" s="1126"/>
      <c r="R439" s="1126"/>
      <c r="S439" s="1126"/>
      <c r="T439" s="1126"/>
      <c r="U439" s="1126"/>
      <c r="V439" s="1126"/>
      <c r="W439" s="1126"/>
      <c r="X439" s="1126"/>
      <c r="Y439" s="1126"/>
      <c r="Z439" s="1126"/>
      <c r="AA439" s="1126"/>
    </row>
    <row r="440" ht="15.75" customHeight="1">
      <c r="A440" s="1126"/>
      <c r="B440" s="1126"/>
      <c r="C440" s="1126"/>
      <c r="D440" s="1126"/>
      <c r="E440" s="1126"/>
      <c r="F440" s="1126"/>
      <c r="G440" s="1126"/>
      <c r="H440" s="1126"/>
      <c r="I440" s="1126"/>
      <c r="J440" s="1126"/>
      <c r="K440" s="1126"/>
      <c r="L440" s="1126"/>
      <c r="M440" s="1126"/>
      <c r="N440" s="1126"/>
      <c r="O440" s="1126"/>
      <c r="P440" s="1126"/>
      <c r="Q440" s="1126"/>
      <c r="R440" s="1126"/>
      <c r="S440" s="1126"/>
      <c r="T440" s="1126"/>
      <c r="U440" s="1126"/>
      <c r="V440" s="1126"/>
      <c r="W440" s="1126"/>
      <c r="X440" s="1126"/>
      <c r="Y440" s="1126"/>
      <c r="Z440" s="1126"/>
      <c r="AA440" s="1126"/>
    </row>
    <row r="441" ht="15.75" customHeight="1">
      <c r="A441" s="1126"/>
      <c r="B441" s="1126"/>
      <c r="C441" s="1126"/>
      <c r="D441" s="1126"/>
      <c r="E441" s="1126"/>
      <c r="F441" s="1126"/>
      <c r="G441" s="1126"/>
      <c r="H441" s="1126"/>
      <c r="I441" s="1126"/>
      <c r="J441" s="1126"/>
      <c r="K441" s="1126"/>
      <c r="L441" s="1126"/>
      <c r="M441" s="1126"/>
      <c r="N441" s="1126"/>
      <c r="O441" s="1126"/>
      <c r="P441" s="1126"/>
      <c r="Q441" s="1126"/>
      <c r="R441" s="1126"/>
      <c r="S441" s="1126"/>
      <c r="T441" s="1126"/>
      <c r="U441" s="1126"/>
      <c r="V441" s="1126"/>
      <c r="W441" s="1126"/>
      <c r="X441" s="1126"/>
      <c r="Y441" s="1126"/>
      <c r="Z441" s="1126"/>
      <c r="AA441" s="1126"/>
    </row>
    <row r="442" ht="15.75" customHeight="1">
      <c r="A442" s="1126"/>
      <c r="B442" s="1126"/>
      <c r="C442" s="1126"/>
      <c r="D442" s="1126"/>
      <c r="E442" s="1126"/>
      <c r="F442" s="1126"/>
      <c r="G442" s="1126"/>
      <c r="H442" s="1126"/>
      <c r="I442" s="1126"/>
      <c r="J442" s="1126"/>
      <c r="K442" s="1126"/>
      <c r="L442" s="1126"/>
      <c r="M442" s="1126"/>
      <c r="N442" s="1126"/>
      <c r="O442" s="1126"/>
      <c r="P442" s="1126"/>
      <c r="Q442" s="1126"/>
      <c r="R442" s="1126"/>
      <c r="S442" s="1126"/>
      <c r="T442" s="1126"/>
      <c r="U442" s="1126"/>
      <c r="V442" s="1126"/>
      <c r="W442" s="1126"/>
      <c r="X442" s="1126"/>
      <c r="Y442" s="1126"/>
      <c r="Z442" s="1126"/>
      <c r="AA442" s="1126"/>
    </row>
    <row r="443" ht="15.75" customHeight="1">
      <c r="A443" s="1126"/>
      <c r="B443" s="1126"/>
      <c r="C443" s="1126"/>
      <c r="D443" s="1126"/>
      <c r="E443" s="1126"/>
      <c r="F443" s="1126"/>
      <c r="G443" s="1126"/>
      <c r="H443" s="1126"/>
      <c r="I443" s="1126"/>
      <c r="J443" s="1126"/>
      <c r="K443" s="1126"/>
      <c r="L443" s="1126"/>
      <c r="M443" s="1126"/>
      <c r="N443" s="1126"/>
      <c r="O443" s="1126"/>
      <c r="P443" s="1126"/>
      <c r="Q443" s="1126"/>
      <c r="R443" s="1126"/>
      <c r="S443" s="1126"/>
      <c r="T443" s="1126"/>
      <c r="U443" s="1126"/>
      <c r="V443" s="1126"/>
      <c r="W443" s="1126"/>
      <c r="X443" s="1126"/>
      <c r="Y443" s="1126"/>
      <c r="Z443" s="1126"/>
      <c r="AA443" s="1126"/>
    </row>
    <row r="444" ht="15.75" customHeight="1">
      <c r="A444" s="1126"/>
      <c r="B444" s="1126"/>
      <c r="C444" s="1126"/>
      <c r="D444" s="1126"/>
      <c r="E444" s="1126"/>
      <c r="F444" s="1126"/>
      <c r="G444" s="1126"/>
      <c r="H444" s="1126"/>
      <c r="I444" s="1126"/>
      <c r="J444" s="1126"/>
      <c r="K444" s="1126"/>
      <c r="L444" s="1126"/>
      <c r="M444" s="1126"/>
      <c r="N444" s="1126"/>
      <c r="O444" s="1126"/>
      <c r="P444" s="1126"/>
      <c r="Q444" s="1126"/>
      <c r="R444" s="1126"/>
      <c r="S444" s="1126"/>
      <c r="T444" s="1126"/>
      <c r="U444" s="1126"/>
      <c r="V444" s="1126"/>
      <c r="W444" s="1126"/>
      <c r="X444" s="1126"/>
      <c r="Y444" s="1126"/>
      <c r="Z444" s="1126"/>
      <c r="AA444" s="1126"/>
    </row>
    <row r="445" ht="15.75" customHeight="1">
      <c r="A445" s="1126"/>
      <c r="B445" s="1126"/>
      <c r="C445" s="1126"/>
      <c r="D445" s="1126"/>
      <c r="E445" s="1126"/>
      <c r="F445" s="1126"/>
      <c r="G445" s="1126"/>
      <c r="H445" s="1126"/>
      <c r="I445" s="1126"/>
      <c r="J445" s="1126"/>
      <c r="K445" s="1126"/>
      <c r="L445" s="1126"/>
      <c r="M445" s="1126"/>
      <c r="N445" s="1126"/>
      <c r="O445" s="1126"/>
      <c r="P445" s="1126"/>
      <c r="Q445" s="1126"/>
      <c r="R445" s="1126"/>
      <c r="S445" s="1126"/>
      <c r="T445" s="1126"/>
      <c r="U445" s="1126"/>
      <c r="V445" s="1126"/>
      <c r="W445" s="1126"/>
      <c r="X445" s="1126"/>
      <c r="Y445" s="1126"/>
      <c r="Z445" s="1126"/>
      <c r="AA445" s="1126"/>
    </row>
    <row r="446" ht="15.75" customHeight="1">
      <c r="A446" s="1126"/>
      <c r="B446" s="1126"/>
      <c r="C446" s="1126"/>
      <c r="D446" s="1126"/>
      <c r="E446" s="1126"/>
      <c r="F446" s="1126"/>
      <c r="G446" s="1126"/>
      <c r="H446" s="1126"/>
      <c r="I446" s="1126"/>
      <c r="J446" s="1126"/>
      <c r="K446" s="1126"/>
      <c r="L446" s="1126"/>
      <c r="M446" s="1126"/>
      <c r="N446" s="1126"/>
      <c r="O446" s="1126"/>
      <c r="P446" s="1126"/>
      <c r="Q446" s="1126"/>
      <c r="R446" s="1126"/>
      <c r="S446" s="1126"/>
      <c r="T446" s="1126"/>
      <c r="U446" s="1126"/>
      <c r="V446" s="1126"/>
      <c r="W446" s="1126"/>
      <c r="X446" s="1126"/>
      <c r="Y446" s="1126"/>
      <c r="Z446" s="1126"/>
      <c r="AA446" s="1126"/>
    </row>
    <row r="447" ht="15.75" customHeight="1">
      <c r="A447" s="1126"/>
      <c r="B447" s="1126"/>
      <c r="C447" s="1126"/>
      <c r="D447" s="1126"/>
      <c r="E447" s="1126"/>
      <c r="F447" s="1126"/>
      <c r="G447" s="1126"/>
      <c r="H447" s="1126"/>
      <c r="I447" s="1126"/>
      <c r="J447" s="1126"/>
      <c r="K447" s="1126"/>
      <c r="L447" s="1126"/>
      <c r="M447" s="1126"/>
      <c r="N447" s="1126"/>
      <c r="O447" s="1126"/>
      <c r="P447" s="1126"/>
      <c r="Q447" s="1126"/>
      <c r="R447" s="1126"/>
      <c r="S447" s="1126"/>
      <c r="T447" s="1126"/>
      <c r="U447" s="1126"/>
      <c r="V447" s="1126"/>
      <c r="W447" s="1126"/>
      <c r="X447" s="1126"/>
      <c r="Y447" s="1126"/>
      <c r="Z447" s="1126"/>
      <c r="AA447" s="1126"/>
    </row>
    <row r="448" ht="15.75" customHeight="1">
      <c r="A448" s="1126"/>
      <c r="B448" s="1126"/>
      <c r="C448" s="1126"/>
      <c r="D448" s="1126"/>
      <c r="E448" s="1126"/>
      <c r="F448" s="1126"/>
      <c r="G448" s="1126"/>
      <c r="H448" s="1126"/>
      <c r="I448" s="1126"/>
      <c r="J448" s="1126"/>
      <c r="K448" s="1126"/>
      <c r="L448" s="1126"/>
      <c r="M448" s="1126"/>
      <c r="N448" s="1126"/>
      <c r="O448" s="1126"/>
      <c r="P448" s="1126"/>
      <c r="Q448" s="1126"/>
      <c r="R448" s="1126"/>
      <c r="S448" s="1126"/>
      <c r="T448" s="1126"/>
      <c r="U448" s="1126"/>
      <c r="V448" s="1126"/>
      <c r="W448" s="1126"/>
      <c r="X448" s="1126"/>
      <c r="Y448" s="1126"/>
      <c r="Z448" s="1126"/>
      <c r="AA448" s="1126"/>
    </row>
    <row r="449" ht="15.75" customHeight="1">
      <c r="A449" s="1126"/>
      <c r="B449" s="1126"/>
      <c r="C449" s="1126"/>
      <c r="D449" s="1126"/>
      <c r="E449" s="1126"/>
      <c r="F449" s="1126"/>
      <c r="G449" s="1126"/>
      <c r="H449" s="1126"/>
      <c r="I449" s="1126"/>
      <c r="J449" s="1126"/>
      <c r="K449" s="1126"/>
      <c r="L449" s="1126"/>
      <c r="M449" s="1126"/>
      <c r="N449" s="1126"/>
      <c r="O449" s="1126"/>
      <c r="P449" s="1126"/>
      <c r="Q449" s="1126"/>
      <c r="R449" s="1126"/>
      <c r="S449" s="1126"/>
      <c r="T449" s="1126"/>
      <c r="U449" s="1126"/>
      <c r="V449" s="1126"/>
      <c r="W449" s="1126"/>
      <c r="X449" s="1126"/>
      <c r="Y449" s="1126"/>
      <c r="Z449" s="1126"/>
      <c r="AA449" s="1126"/>
    </row>
    <row r="450" ht="15.75" customHeight="1">
      <c r="A450" s="1126"/>
      <c r="B450" s="1126"/>
      <c r="C450" s="1126"/>
      <c r="D450" s="1126"/>
      <c r="E450" s="1126"/>
      <c r="F450" s="1126"/>
      <c r="G450" s="1126"/>
      <c r="H450" s="1126"/>
      <c r="I450" s="1126"/>
      <c r="J450" s="1126"/>
      <c r="K450" s="1126"/>
      <c r="L450" s="1126"/>
      <c r="M450" s="1126"/>
      <c r="N450" s="1126"/>
      <c r="O450" s="1126"/>
      <c r="P450" s="1126"/>
      <c r="Q450" s="1126"/>
      <c r="R450" s="1126"/>
      <c r="S450" s="1126"/>
      <c r="T450" s="1126"/>
      <c r="U450" s="1126"/>
      <c r="V450" s="1126"/>
      <c r="W450" s="1126"/>
      <c r="X450" s="1126"/>
      <c r="Y450" s="1126"/>
      <c r="Z450" s="1126"/>
      <c r="AA450" s="1126"/>
    </row>
    <row r="451" ht="15.75" customHeight="1">
      <c r="A451" s="1126"/>
      <c r="B451" s="1126"/>
      <c r="C451" s="1126"/>
      <c r="D451" s="1126"/>
      <c r="E451" s="1126"/>
      <c r="F451" s="1126"/>
      <c r="G451" s="1126"/>
      <c r="H451" s="1126"/>
      <c r="I451" s="1126"/>
      <c r="J451" s="1126"/>
      <c r="K451" s="1126"/>
      <c r="L451" s="1126"/>
      <c r="M451" s="1126"/>
      <c r="N451" s="1126"/>
      <c r="O451" s="1126"/>
      <c r="P451" s="1126"/>
      <c r="Q451" s="1126"/>
      <c r="R451" s="1126"/>
      <c r="S451" s="1126"/>
      <c r="T451" s="1126"/>
      <c r="U451" s="1126"/>
      <c r="V451" s="1126"/>
      <c r="W451" s="1126"/>
      <c r="X451" s="1126"/>
      <c r="Y451" s="1126"/>
      <c r="Z451" s="1126"/>
      <c r="AA451" s="1126"/>
    </row>
    <row r="452" ht="15.75" customHeight="1">
      <c r="A452" s="1126"/>
      <c r="B452" s="1126"/>
      <c r="C452" s="1126"/>
      <c r="D452" s="1126"/>
      <c r="E452" s="1126"/>
      <c r="F452" s="1126"/>
      <c r="G452" s="1126"/>
      <c r="H452" s="1126"/>
      <c r="I452" s="1126"/>
      <c r="J452" s="1126"/>
      <c r="K452" s="1126"/>
      <c r="L452" s="1126"/>
      <c r="M452" s="1126"/>
      <c r="N452" s="1126"/>
      <c r="O452" s="1126"/>
      <c r="P452" s="1126"/>
      <c r="Q452" s="1126"/>
      <c r="R452" s="1126"/>
      <c r="S452" s="1126"/>
      <c r="T452" s="1126"/>
      <c r="U452" s="1126"/>
      <c r="V452" s="1126"/>
      <c r="W452" s="1126"/>
      <c r="X452" s="1126"/>
      <c r="Y452" s="1126"/>
      <c r="Z452" s="1126"/>
      <c r="AA452" s="1126"/>
    </row>
    <row r="453" ht="15.75" customHeight="1">
      <c r="A453" s="1126"/>
      <c r="B453" s="1126"/>
      <c r="C453" s="1126"/>
      <c r="D453" s="1126"/>
      <c r="E453" s="1126"/>
      <c r="F453" s="1126"/>
      <c r="G453" s="1126"/>
      <c r="H453" s="1126"/>
      <c r="I453" s="1126"/>
      <c r="J453" s="1126"/>
      <c r="K453" s="1126"/>
      <c r="L453" s="1126"/>
      <c r="M453" s="1126"/>
      <c r="N453" s="1126"/>
      <c r="O453" s="1126"/>
      <c r="P453" s="1126"/>
      <c r="Q453" s="1126"/>
      <c r="R453" s="1126"/>
      <c r="S453" s="1126"/>
      <c r="T453" s="1126"/>
      <c r="U453" s="1126"/>
      <c r="V453" s="1126"/>
      <c r="W453" s="1126"/>
      <c r="X453" s="1126"/>
      <c r="Y453" s="1126"/>
      <c r="Z453" s="1126"/>
      <c r="AA453" s="1126"/>
    </row>
    <row r="454" ht="15.75" customHeight="1">
      <c r="A454" s="1126"/>
      <c r="B454" s="1126"/>
      <c r="C454" s="1126"/>
      <c r="D454" s="1126"/>
      <c r="E454" s="1126"/>
      <c r="F454" s="1126"/>
      <c r="G454" s="1126"/>
      <c r="H454" s="1126"/>
      <c r="I454" s="1126"/>
      <c r="J454" s="1126"/>
      <c r="K454" s="1126"/>
      <c r="L454" s="1126"/>
      <c r="M454" s="1126"/>
      <c r="N454" s="1126"/>
      <c r="O454" s="1126"/>
      <c r="P454" s="1126"/>
      <c r="Q454" s="1126"/>
      <c r="R454" s="1126"/>
      <c r="S454" s="1126"/>
      <c r="T454" s="1126"/>
      <c r="U454" s="1126"/>
      <c r="V454" s="1126"/>
      <c r="W454" s="1126"/>
      <c r="X454" s="1126"/>
      <c r="Y454" s="1126"/>
      <c r="Z454" s="1126"/>
      <c r="AA454" s="1126"/>
    </row>
    <row r="455" ht="15.75" customHeight="1">
      <c r="A455" s="1126"/>
      <c r="B455" s="1126"/>
      <c r="C455" s="1126"/>
      <c r="D455" s="1126"/>
      <c r="E455" s="1126"/>
      <c r="F455" s="1126"/>
      <c r="G455" s="1126"/>
      <c r="H455" s="1126"/>
      <c r="I455" s="1126"/>
      <c r="J455" s="1126"/>
      <c r="K455" s="1126"/>
      <c r="L455" s="1126"/>
      <c r="M455" s="1126"/>
      <c r="N455" s="1126"/>
      <c r="O455" s="1126"/>
      <c r="P455" s="1126"/>
      <c r="Q455" s="1126"/>
      <c r="R455" s="1126"/>
      <c r="S455" s="1126"/>
      <c r="T455" s="1126"/>
      <c r="U455" s="1126"/>
      <c r="V455" s="1126"/>
      <c r="W455" s="1126"/>
      <c r="X455" s="1126"/>
      <c r="Y455" s="1126"/>
      <c r="Z455" s="1126"/>
      <c r="AA455" s="1126"/>
    </row>
    <row r="456" ht="15.75" customHeight="1">
      <c r="A456" s="1126"/>
      <c r="B456" s="1126"/>
      <c r="C456" s="1126"/>
      <c r="D456" s="1126"/>
      <c r="E456" s="1126"/>
      <c r="F456" s="1126"/>
      <c r="G456" s="1126"/>
      <c r="H456" s="1126"/>
      <c r="I456" s="1126"/>
      <c r="J456" s="1126"/>
      <c r="K456" s="1126"/>
      <c r="L456" s="1126"/>
      <c r="M456" s="1126"/>
      <c r="N456" s="1126"/>
      <c r="O456" s="1126"/>
      <c r="P456" s="1126"/>
      <c r="Q456" s="1126"/>
      <c r="R456" s="1126"/>
      <c r="S456" s="1126"/>
      <c r="T456" s="1126"/>
      <c r="U456" s="1126"/>
      <c r="V456" s="1126"/>
      <c r="W456" s="1126"/>
      <c r="X456" s="1126"/>
      <c r="Y456" s="1126"/>
      <c r="Z456" s="1126"/>
      <c r="AA456" s="1126"/>
    </row>
    <row r="457" ht="15.75" customHeight="1">
      <c r="A457" s="1126"/>
      <c r="B457" s="1126"/>
      <c r="C457" s="1126"/>
      <c r="D457" s="1126"/>
      <c r="E457" s="1126"/>
      <c r="F457" s="1126"/>
      <c r="G457" s="1126"/>
      <c r="H457" s="1126"/>
      <c r="I457" s="1126"/>
      <c r="J457" s="1126"/>
      <c r="K457" s="1126"/>
      <c r="L457" s="1126"/>
      <c r="M457" s="1126"/>
      <c r="N457" s="1126"/>
      <c r="O457" s="1126"/>
      <c r="P457" s="1126"/>
      <c r="Q457" s="1126"/>
      <c r="R457" s="1126"/>
      <c r="S457" s="1126"/>
      <c r="T457" s="1126"/>
      <c r="U457" s="1126"/>
      <c r="V457" s="1126"/>
      <c r="W457" s="1126"/>
      <c r="X457" s="1126"/>
      <c r="Y457" s="1126"/>
      <c r="Z457" s="1126"/>
      <c r="AA457" s="1126"/>
    </row>
    <row r="458" ht="15.75" customHeight="1">
      <c r="A458" s="1126"/>
      <c r="B458" s="1126"/>
      <c r="C458" s="1126"/>
      <c r="D458" s="1126"/>
      <c r="E458" s="1126"/>
      <c r="F458" s="1126"/>
      <c r="G458" s="1126"/>
      <c r="H458" s="1126"/>
      <c r="I458" s="1126"/>
      <c r="J458" s="1126"/>
      <c r="K458" s="1126"/>
      <c r="L458" s="1126"/>
      <c r="M458" s="1126"/>
      <c r="N458" s="1126"/>
      <c r="O458" s="1126"/>
      <c r="P458" s="1126"/>
      <c r="Q458" s="1126"/>
      <c r="R458" s="1126"/>
      <c r="S458" s="1126"/>
      <c r="T458" s="1126"/>
      <c r="U458" s="1126"/>
      <c r="V458" s="1126"/>
      <c r="W458" s="1126"/>
      <c r="X458" s="1126"/>
      <c r="Y458" s="1126"/>
      <c r="Z458" s="1126"/>
      <c r="AA458" s="1126"/>
    </row>
    <row r="459" ht="15.75" customHeight="1">
      <c r="A459" s="1126"/>
      <c r="B459" s="1126"/>
      <c r="C459" s="1126"/>
      <c r="D459" s="1126"/>
      <c r="E459" s="1126"/>
      <c r="F459" s="1126"/>
      <c r="G459" s="1126"/>
      <c r="H459" s="1126"/>
      <c r="I459" s="1126"/>
      <c r="J459" s="1126"/>
      <c r="K459" s="1126"/>
      <c r="L459" s="1126"/>
      <c r="M459" s="1126"/>
      <c r="N459" s="1126"/>
      <c r="O459" s="1126"/>
      <c r="P459" s="1126"/>
      <c r="Q459" s="1126"/>
      <c r="R459" s="1126"/>
      <c r="S459" s="1126"/>
      <c r="T459" s="1126"/>
      <c r="U459" s="1126"/>
      <c r="V459" s="1126"/>
      <c r="W459" s="1126"/>
      <c r="X459" s="1126"/>
      <c r="Y459" s="1126"/>
      <c r="Z459" s="1126"/>
      <c r="AA459" s="1126"/>
    </row>
    <row r="460" ht="15.75" customHeight="1">
      <c r="A460" s="1126"/>
      <c r="B460" s="1126"/>
      <c r="C460" s="1126"/>
      <c r="D460" s="1126"/>
      <c r="E460" s="1126"/>
      <c r="F460" s="1126"/>
      <c r="G460" s="1126"/>
      <c r="H460" s="1126"/>
      <c r="I460" s="1126"/>
      <c r="J460" s="1126"/>
      <c r="K460" s="1126"/>
      <c r="L460" s="1126"/>
      <c r="M460" s="1126"/>
      <c r="N460" s="1126"/>
      <c r="O460" s="1126"/>
      <c r="P460" s="1126"/>
      <c r="Q460" s="1126"/>
      <c r="R460" s="1126"/>
      <c r="S460" s="1126"/>
      <c r="T460" s="1126"/>
      <c r="U460" s="1126"/>
      <c r="V460" s="1126"/>
      <c r="W460" s="1126"/>
      <c r="X460" s="1126"/>
      <c r="Y460" s="1126"/>
      <c r="Z460" s="1126"/>
      <c r="AA460" s="1126"/>
    </row>
    <row r="461" ht="15.75" customHeight="1">
      <c r="A461" s="1126"/>
      <c r="B461" s="1126"/>
      <c r="C461" s="1126"/>
      <c r="D461" s="1126"/>
      <c r="E461" s="1126"/>
      <c r="F461" s="1126"/>
      <c r="G461" s="1126"/>
      <c r="H461" s="1126"/>
      <c r="I461" s="1126"/>
      <c r="J461" s="1126"/>
      <c r="K461" s="1126"/>
      <c r="L461" s="1126"/>
      <c r="M461" s="1126"/>
      <c r="N461" s="1126"/>
      <c r="O461" s="1126"/>
      <c r="P461" s="1126"/>
      <c r="Q461" s="1126"/>
      <c r="R461" s="1126"/>
      <c r="S461" s="1126"/>
      <c r="T461" s="1126"/>
      <c r="U461" s="1126"/>
      <c r="V461" s="1126"/>
      <c r="W461" s="1126"/>
      <c r="X461" s="1126"/>
      <c r="Y461" s="1126"/>
      <c r="Z461" s="1126"/>
      <c r="AA461" s="1126"/>
    </row>
    <row r="462" ht="15.75" customHeight="1">
      <c r="A462" s="1126"/>
      <c r="B462" s="1126"/>
      <c r="C462" s="1126"/>
      <c r="D462" s="1126"/>
      <c r="E462" s="1126"/>
      <c r="F462" s="1126"/>
      <c r="G462" s="1126"/>
      <c r="H462" s="1126"/>
      <c r="I462" s="1126"/>
      <c r="J462" s="1126"/>
      <c r="K462" s="1126"/>
      <c r="L462" s="1126"/>
      <c r="M462" s="1126"/>
      <c r="N462" s="1126"/>
      <c r="O462" s="1126"/>
      <c r="P462" s="1126"/>
      <c r="Q462" s="1126"/>
      <c r="R462" s="1126"/>
      <c r="S462" s="1126"/>
      <c r="T462" s="1126"/>
      <c r="U462" s="1126"/>
      <c r="V462" s="1126"/>
      <c r="W462" s="1126"/>
      <c r="X462" s="1126"/>
      <c r="Y462" s="1126"/>
      <c r="Z462" s="1126"/>
      <c r="AA462" s="1126"/>
    </row>
    <row r="463" ht="15.75" customHeight="1">
      <c r="A463" s="1126"/>
      <c r="B463" s="1126"/>
      <c r="C463" s="1126"/>
      <c r="D463" s="1126"/>
      <c r="E463" s="1126"/>
      <c r="F463" s="1126"/>
      <c r="G463" s="1126"/>
      <c r="H463" s="1126"/>
      <c r="I463" s="1126"/>
      <c r="J463" s="1126"/>
      <c r="K463" s="1126"/>
      <c r="L463" s="1126"/>
      <c r="M463" s="1126"/>
      <c r="N463" s="1126"/>
      <c r="O463" s="1126"/>
      <c r="P463" s="1126"/>
      <c r="Q463" s="1126"/>
      <c r="R463" s="1126"/>
      <c r="S463" s="1126"/>
      <c r="T463" s="1126"/>
      <c r="U463" s="1126"/>
      <c r="V463" s="1126"/>
      <c r="W463" s="1126"/>
      <c r="X463" s="1126"/>
      <c r="Y463" s="1126"/>
      <c r="Z463" s="1126"/>
      <c r="AA463" s="1126"/>
    </row>
    <row r="464" ht="15.75" customHeight="1">
      <c r="A464" s="1126"/>
      <c r="B464" s="1126"/>
      <c r="C464" s="1126"/>
      <c r="D464" s="1126"/>
      <c r="E464" s="1126"/>
      <c r="F464" s="1126"/>
      <c r="G464" s="1126"/>
      <c r="H464" s="1126"/>
      <c r="I464" s="1126"/>
      <c r="J464" s="1126"/>
      <c r="K464" s="1126"/>
      <c r="L464" s="1126"/>
      <c r="M464" s="1126"/>
      <c r="N464" s="1126"/>
      <c r="O464" s="1126"/>
      <c r="P464" s="1126"/>
      <c r="Q464" s="1126"/>
      <c r="R464" s="1126"/>
      <c r="S464" s="1126"/>
      <c r="T464" s="1126"/>
      <c r="U464" s="1126"/>
      <c r="V464" s="1126"/>
      <c r="W464" s="1126"/>
      <c r="X464" s="1126"/>
      <c r="Y464" s="1126"/>
      <c r="Z464" s="1126"/>
      <c r="AA464" s="1126"/>
    </row>
    <row r="465" ht="15.75" customHeight="1">
      <c r="A465" s="1126"/>
      <c r="B465" s="1126"/>
      <c r="C465" s="1126"/>
      <c r="D465" s="1126"/>
      <c r="E465" s="1126"/>
      <c r="F465" s="1126"/>
      <c r="G465" s="1126"/>
      <c r="H465" s="1126"/>
      <c r="I465" s="1126"/>
      <c r="J465" s="1126"/>
      <c r="K465" s="1126"/>
      <c r="L465" s="1126"/>
      <c r="M465" s="1126"/>
      <c r="N465" s="1126"/>
      <c r="O465" s="1126"/>
      <c r="P465" s="1126"/>
      <c r="Q465" s="1126"/>
      <c r="R465" s="1126"/>
      <c r="S465" s="1126"/>
      <c r="T465" s="1126"/>
      <c r="U465" s="1126"/>
      <c r="V465" s="1126"/>
      <c r="W465" s="1126"/>
      <c r="X465" s="1126"/>
      <c r="Y465" s="1126"/>
      <c r="Z465" s="1126"/>
      <c r="AA465" s="1126"/>
    </row>
    <row r="466" ht="15.75" customHeight="1">
      <c r="A466" s="1126"/>
      <c r="B466" s="1126"/>
      <c r="C466" s="1126"/>
      <c r="D466" s="1126"/>
      <c r="E466" s="1126"/>
      <c r="F466" s="1126"/>
      <c r="G466" s="1126"/>
      <c r="H466" s="1126"/>
      <c r="I466" s="1126"/>
      <c r="J466" s="1126"/>
      <c r="K466" s="1126"/>
      <c r="L466" s="1126"/>
      <c r="M466" s="1126"/>
      <c r="N466" s="1126"/>
      <c r="O466" s="1126"/>
      <c r="P466" s="1126"/>
      <c r="Q466" s="1126"/>
      <c r="R466" s="1126"/>
      <c r="S466" s="1126"/>
      <c r="T466" s="1126"/>
      <c r="U466" s="1126"/>
      <c r="V466" s="1126"/>
      <c r="W466" s="1126"/>
      <c r="X466" s="1126"/>
      <c r="Y466" s="1126"/>
      <c r="Z466" s="1126"/>
      <c r="AA466" s="1126"/>
    </row>
    <row r="467" ht="15.75" customHeight="1">
      <c r="A467" s="1126"/>
      <c r="B467" s="1126"/>
      <c r="C467" s="1126"/>
      <c r="D467" s="1126"/>
      <c r="E467" s="1126"/>
      <c r="F467" s="1126"/>
      <c r="G467" s="1126"/>
      <c r="H467" s="1126"/>
      <c r="I467" s="1126"/>
      <c r="J467" s="1126"/>
      <c r="K467" s="1126"/>
      <c r="L467" s="1126"/>
      <c r="M467" s="1126"/>
      <c r="N467" s="1126"/>
      <c r="O467" s="1126"/>
      <c r="P467" s="1126"/>
      <c r="Q467" s="1126"/>
      <c r="R467" s="1126"/>
      <c r="S467" s="1126"/>
      <c r="T467" s="1126"/>
      <c r="U467" s="1126"/>
      <c r="V467" s="1126"/>
      <c r="W467" s="1126"/>
      <c r="X467" s="1126"/>
      <c r="Y467" s="1126"/>
      <c r="Z467" s="1126"/>
      <c r="AA467" s="1126"/>
    </row>
    <row r="468" ht="15.75" customHeight="1">
      <c r="A468" s="1126"/>
      <c r="B468" s="1126"/>
      <c r="C468" s="1126"/>
      <c r="D468" s="1126"/>
      <c r="E468" s="1126"/>
      <c r="F468" s="1126"/>
      <c r="G468" s="1126"/>
      <c r="H468" s="1126"/>
      <c r="I468" s="1126"/>
      <c r="J468" s="1126"/>
      <c r="K468" s="1126"/>
      <c r="L468" s="1126"/>
      <c r="M468" s="1126"/>
      <c r="N468" s="1126"/>
      <c r="O468" s="1126"/>
      <c r="P468" s="1126"/>
      <c r="Q468" s="1126"/>
      <c r="R468" s="1126"/>
      <c r="S468" s="1126"/>
      <c r="T468" s="1126"/>
      <c r="U468" s="1126"/>
      <c r="V468" s="1126"/>
      <c r="W468" s="1126"/>
      <c r="X468" s="1126"/>
      <c r="Y468" s="1126"/>
      <c r="Z468" s="1126"/>
      <c r="AA468" s="1126"/>
    </row>
    <row r="469" ht="15.75" customHeight="1">
      <c r="A469" s="1126"/>
      <c r="B469" s="1126"/>
      <c r="C469" s="1126"/>
      <c r="D469" s="1126"/>
      <c r="E469" s="1126"/>
      <c r="F469" s="1126"/>
      <c r="G469" s="1126"/>
      <c r="H469" s="1126"/>
      <c r="I469" s="1126"/>
      <c r="J469" s="1126"/>
      <c r="K469" s="1126"/>
      <c r="L469" s="1126"/>
      <c r="M469" s="1126"/>
      <c r="N469" s="1126"/>
      <c r="O469" s="1126"/>
      <c r="P469" s="1126"/>
      <c r="Q469" s="1126"/>
      <c r="R469" s="1126"/>
      <c r="S469" s="1126"/>
      <c r="T469" s="1126"/>
      <c r="U469" s="1126"/>
      <c r="V469" s="1126"/>
      <c r="W469" s="1126"/>
      <c r="X469" s="1126"/>
      <c r="Y469" s="1126"/>
      <c r="Z469" s="1126"/>
      <c r="AA469" s="1126"/>
    </row>
    <row r="470" ht="15.75" customHeight="1">
      <c r="A470" s="1126"/>
      <c r="B470" s="1126"/>
      <c r="C470" s="1126"/>
      <c r="D470" s="1126"/>
      <c r="E470" s="1126"/>
      <c r="F470" s="1126"/>
      <c r="G470" s="1126"/>
      <c r="H470" s="1126"/>
      <c r="I470" s="1126"/>
      <c r="J470" s="1126"/>
      <c r="K470" s="1126"/>
      <c r="L470" s="1126"/>
      <c r="M470" s="1126"/>
      <c r="N470" s="1126"/>
      <c r="O470" s="1126"/>
      <c r="P470" s="1126"/>
      <c r="Q470" s="1126"/>
      <c r="R470" s="1126"/>
      <c r="S470" s="1126"/>
      <c r="T470" s="1126"/>
      <c r="U470" s="1126"/>
      <c r="V470" s="1126"/>
      <c r="W470" s="1126"/>
      <c r="X470" s="1126"/>
      <c r="Y470" s="1126"/>
      <c r="Z470" s="1126"/>
      <c r="AA470" s="1126"/>
    </row>
    <row r="471" ht="15.75" customHeight="1">
      <c r="A471" s="1126"/>
      <c r="B471" s="1126"/>
      <c r="C471" s="1126"/>
      <c r="D471" s="1126"/>
      <c r="E471" s="1126"/>
      <c r="F471" s="1126"/>
      <c r="G471" s="1126"/>
      <c r="H471" s="1126"/>
      <c r="I471" s="1126"/>
      <c r="J471" s="1126"/>
      <c r="K471" s="1126"/>
      <c r="L471" s="1126"/>
      <c r="M471" s="1126"/>
      <c r="N471" s="1126"/>
      <c r="O471" s="1126"/>
      <c r="P471" s="1126"/>
      <c r="Q471" s="1126"/>
      <c r="R471" s="1126"/>
      <c r="S471" s="1126"/>
      <c r="T471" s="1126"/>
      <c r="U471" s="1126"/>
      <c r="V471" s="1126"/>
      <c r="W471" s="1126"/>
      <c r="X471" s="1126"/>
      <c r="Y471" s="1126"/>
      <c r="Z471" s="1126"/>
      <c r="AA471" s="1126"/>
    </row>
    <row r="472" ht="15.75" customHeight="1">
      <c r="A472" s="1126"/>
      <c r="B472" s="1126"/>
      <c r="C472" s="1126"/>
      <c r="D472" s="1126"/>
      <c r="E472" s="1126"/>
      <c r="F472" s="1126"/>
      <c r="G472" s="1126"/>
      <c r="H472" s="1126"/>
      <c r="I472" s="1126"/>
      <c r="J472" s="1126"/>
      <c r="K472" s="1126"/>
      <c r="L472" s="1126"/>
      <c r="M472" s="1126"/>
      <c r="N472" s="1126"/>
      <c r="O472" s="1126"/>
      <c r="P472" s="1126"/>
      <c r="Q472" s="1126"/>
      <c r="R472" s="1126"/>
      <c r="S472" s="1126"/>
      <c r="T472" s="1126"/>
      <c r="U472" s="1126"/>
      <c r="V472" s="1126"/>
      <c r="W472" s="1126"/>
      <c r="X472" s="1126"/>
      <c r="Y472" s="1126"/>
      <c r="Z472" s="1126"/>
      <c r="AA472" s="1126"/>
    </row>
    <row r="473" ht="15.75" customHeight="1">
      <c r="A473" s="1126"/>
      <c r="B473" s="1126"/>
      <c r="C473" s="1126"/>
      <c r="D473" s="1126"/>
      <c r="E473" s="1126"/>
      <c r="F473" s="1126"/>
      <c r="G473" s="1126"/>
      <c r="H473" s="1126"/>
      <c r="I473" s="1126"/>
      <c r="J473" s="1126"/>
      <c r="K473" s="1126"/>
      <c r="L473" s="1126"/>
      <c r="M473" s="1126"/>
      <c r="N473" s="1126"/>
      <c r="O473" s="1126"/>
      <c r="P473" s="1126"/>
      <c r="Q473" s="1126"/>
      <c r="R473" s="1126"/>
      <c r="S473" s="1126"/>
      <c r="T473" s="1126"/>
      <c r="U473" s="1126"/>
      <c r="V473" s="1126"/>
      <c r="W473" s="1126"/>
      <c r="X473" s="1126"/>
      <c r="Y473" s="1126"/>
      <c r="Z473" s="1126"/>
      <c r="AA473" s="1126"/>
    </row>
    <row r="474" ht="15.75" customHeight="1">
      <c r="A474" s="1126"/>
      <c r="B474" s="1126"/>
      <c r="C474" s="1126"/>
      <c r="D474" s="1126"/>
      <c r="E474" s="1126"/>
      <c r="F474" s="1126"/>
      <c r="G474" s="1126"/>
      <c r="H474" s="1126"/>
      <c r="I474" s="1126"/>
      <c r="J474" s="1126"/>
      <c r="K474" s="1126"/>
      <c r="L474" s="1126"/>
      <c r="M474" s="1126"/>
      <c r="N474" s="1126"/>
      <c r="O474" s="1126"/>
      <c r="P474" s="1126"/>
      <c r="Q474" s="1126"/>
      <c r="R474" s="1126"/>
      <c r="S474" s="1126"/>
      <c r="T474" s="1126"/>
      <c r="U474" s="1126"/>
      <c r="V474" s="1126"/>
      <c r="W474" s="1126"/>
      <c r="X474" s="1126"/>
      <c r="Y474" s="1126"/>
      <c r="Z474" s="1126"/>
      <c r="AA474" s="1126"/>
    </row>
    <row r="475" ht="15.75" customHeight="1">
      <c r="A475" s="1126"/>
      <c r="B475" s="1126"/>
      <c r="C475" s="1126"/>
      <c r="D475" s="1126"/>
      <c r="E475" s="1126"/>
      <c r="F475" s="1126"/>
      <c r="G475" s="1126"/>
      <c r="H475" s="1126"/>
      <c r="I475" s="1126"/>
      <c r="J475" s="1126"/>
      <c r="K475" s="1126"/>
      <c r="L475" s="1126"/>
      <c r="M475" s="1126"/>
      <c r="N475" s="1126"/>
      <c r="O475" s="1126"/>
      <c r="P475" s="1126"/>
      <c r="Q475" s="1126"/>
      <c r="R475" s="1126"/>
      <c r="S475" s="1126"/>
      <c r="T475" s="1126"/>
      <c r="U475" s="1126"/>
      <c r="V475" s="1126"/>
      <c r="W475" s="1126"/>
      <c r="X475" s="1126"/>
      <c r="Y475" s="1126"/>
      <c r="Z475" s="1126"/>
      <c r="AA475" s="1126"/>
    </row>
    <row r="476" ht="15.75" customHeight="1">
      <c r="A476" s="1126"/>
      <c r="B476" s="1126"/>
      <c r="C476" s="1126"/>
      <c r="D476" s="1126"/>
      <c r="E476" s="1126"/>
      <c r="F476" s="1126"/>
      <c r="G476" s="1126"/>
      <c r="H476" s="1126"/>
      <c r="I476" s="1126"/>
      <c r="J476" s="1126"/>
      <c r="K476" s="1126"/>
      <c r="L476" s="1126"/>
      <c r="M476" s="1126"/>
      <c r="N476" s="1126"/>
      <c r="O476" s="1126"/>
      <c r="P476" s="1126"/>
      <c r="Q476" s="1126"/>
      <c r="R476" s="1126"/>
      <c r="S476" s="1126"/>
      <c r="T476" s="1126"/>
      <c r="U476" s="1126"/>
      <c r="V476" s="1126"/>
      <c r="W476" s="1126"/>
      <c r="X476" s="1126"/>
      <c r="Y476" s="1126"/>
      <c r="Z476" s="1126"/>
      <c r="AA476" s="1126"/>
    </row>
    <row r="477" ht="15.75" customHeight="1">
      <c r="A477" s="1126"/>
      <c r="B477" s="1126"/>
      <c r="C477" s="1126"/>
      <c r="D477" s="1126"/>
      <c r="E477" s="1126"/>
      <c r="F477" s="1126"/>
      <c r="G477" s="1126"/>
      <c r="H477" s="1126"/>
      <c r="I477" s="1126"/>
      <c r="J477" s="1126"/>
      <c r="K477" s="1126"/>
      <c r="L477" s="1126"/>
      <c r="M477" s="1126"/>
      <c r="N477" s="1126"/>
      <c r="O477" s="1126"/>
      <c r="P477" s="1126"/>
      <c r="Q477" s="1126"/>
      <c r="R477" s="1126"/>
      <c r="S477" s="1126"/>
      <c r="T477" s="1126"/>
      <c r="U477" s="1126"/>
      <c r="V477" s="1126"/>
      <c r="W477" s="1126"/>
      <c r="X477" s="1126"/>
      <c r="Y477" s="1126"/>
      <c r="Z477" s="1126"/>
      <c r="AA477" s="1126"/>
    </row>
    <row r="478" ht="15.75" customHeight="1">
      <c r="A478" s="1126"/>
      <c r="B478" s="1126"/>
      <c r="C478" s="1126"/>
      <c r="D478" s="1126"/>
      <c r="E478" s="1126"/>
      <c r="F478" s="1126"/>
      <c r="G478" s="1126"/>
      <c r="H478" s="1126"/>
      <c r="I478" s="1126"/>
      <c r="J478" s="1126"/>
      <c r="K478" s="1126"/>
      <c r="L478" s="1126"/>
      <c r="M478" s="1126"/>
      <c r="N478" s="1126"/>
      <c r="O478" s="1126"/>
      <c r="P478" s="1126"/>
      <c r="Q478" s="1126"/>
      <c r="R478" s="1126"/>
      <c r="S478" s="1126"/>
      <c r="T478" s="1126"/>
      <c r="U478" s="1126"/>
      <c r="V478" s="1126"/>
      <c r="W478" s="1126"/>
      <c r="X478" s="1126"/>
      <c r="Y478" s="1126"/>
      <c r="Z478" s="1126"/>
      <c r="AA478" s="1126"/>
    </row>
    <row r="479" ht="15.75" customHeight="1">
      <c r="A479" s="1126"/>
      <c r="B479" s="1126"/>
      <c r="C479" s="1126"/>
      <c r="D479" s="1126"/>
      <c r="E479" s="1126"/>
      <c r="F479" s="1126"/>
      <c r="G479" s="1126"/>
      <c r="H479" s="1126"/>
      <c r="I479" s="1126"/>
      <c r="J479" s="1126"/>
      <c r="K479" s="1126"/>
      <c r="L479" s="1126"/>
      <c r="M479" s="1126"/>
      <c r="N479" s="1126"/>
      <c r="O479" s="1126"/>
      <c r="P479" s="1126"/>
      <c r="Q479" s="1126"/>
      <c r="R479" s="1126"/>
      <c r="S479" s="1126"/>
      <c r="T479" s="1126"/>
      <c r="U479" s="1126"/>
      <c r="V479" s="1126"/>
      <c r="W479" s="1126"/>
      <c r="X479" s="1126"/>
      <c r="Y479" s="1126"/>
      <c r="Z479" s="1126"/>
      <c r="AA479" s="1126"/>
    </row>
    <row r="480" ht="15.75" customHeight="1">
      <c r="A480" s="1126"/>
      <c r="B480" s="1126"/>
      <c r="C480" s="1126"/>
      <c r="D480" s="1126"/>
      <c r="E480" s="1126"/>
      <c r="F480" s="1126"/>
      <c r="G480" s="1126"/>
      <c r="H480" s="1126"/>
      <c r="I480" s="1126"/>
      <c r="J480" s="1126"/>
      <c r="K480" s="1126"/>
      <c r="L480" s="1126"/>
      <c r="M480" s="1126"/>
      <c r="N480" s="1126"/>
      <c r="O480" s="1126"/>
      <c r="P480" s="1126"/>
      <c r="Q480" s="1126"/>
      <c r="R480" s="1126"/>
      <c r="S480" s="1126"/>
      <c r="T480" s="1126"/>
      <c r="U480" s="1126"/>
      <c r="V480" s="1126"/>
      <c r="W480" s="1126"/>
      <c r="X480" s="1126"/>
      <c r="Y480" s="1126"/>
      <c r="Z480" s="1126"/>
      <c r="AA480" s="1126"/>
    </row>
    <row r="481" ht="15.75" customHeight="1">
      <c r="A481" s="1126"/>
      <c r="B481" s="1126"/>
      <c r="C481" s="1126"/>
      <c r="D481" s="1126"/>
      <c r="E481" s="1126"/>
      <c r="F481" s="1126"/>
      <c r="G481" s="1126"/>
      <c r="H481" s="1126"/>
      <c r="I481" s="1126"/>
      <c r="J481" s="1126"/>
      <c r="K481" s="1126"/>
      <c r="L481" s="1126"/>
      <c r="M481" s="1126"/>
      <c r="N481" s="1126"/>
      <c r="O481" s="1126"/>
      <c r="P481" s="1126"/>
      <c r="Q481" s="1126"/>
      <c r="R481" s="1126"/>
      <c r="S481" s="1126"/>
      <c r="T481" s="1126"/>
      <c r="U481" s="1126"/>
      <c r="V481" s="1126"/>
      <c r="W481" s="1126"/>
      <c r="X481" s="1126"/>
      <c r="Y481" s="1126"/>
      <c r="Z481" s="1126"/>
      <c r="AA481" s="1126"/>
    </row>
    <row r="482" ht="15.75" customHeight="1">
      <c r="A482" s="1126"/>
      <c r="B482" s="1126"/>
      <c r="C482" s="1126"/>
      <c r="D482" s="1126"/>
      <c r="E482" s="1126"/>
      <c r="F482" s="1126"/>
      <c r="G482" s="1126"/>
      <c r="H482" s="1126"/>
      <c r="I482" s="1126"/>
      <c r="J482" s="1126"/>
      <c r="K482" s="1126"/>
      <c r="L482" s="1126"/>
      <c r="M482" s="1126"/>
      <c r="N482" s="1126"/>
      <c r="O482" s="1126"/>
      <c r="P482" s="1126"/>
      <c r="Q482" s="1126"/>
      <c r="R482" s="1126"/>
      <c r="S482" s="1126"/>
      <c r="T482" s="1126"/>
      <c r="U482" s="1126"/>
      <c r="V482" s="1126"/>
      <c r="W482" s="1126"/>
      <c r="X482" s="1126"/>
      <c r="Y482" s="1126"/>
      <c r="Z482" s="1126"/>
      <c r="AA482" s="1126"/>
    </row>
    <row r="483" ht="15.75" customHeight="1">
      <c r="A483" s="1126"/>
      <c r="B483" s="1126"/>
      <c r="C483" s="1126"/>
      <c r="D483" s="1126"/>
      <c r="E483" s="1126"/>
      <c r="F483" s="1126"/>
      <c r="G483" s="1126"/>
      <c r="H483" s="1126"/>
      <c r="I483" s="1126"/>
      <c r="J483" s="1126"/>
      <c r="K483" s="1126"/>
      <c r="L483" s="1126"/>
      <c r="M483" s="1126"/>
      <c r="N483" s="1126"/>
      <c r="O483" s="1126"/>
      <c r="P483" s="1126"/>
      <c r="Q483" s="1126"/>
      <c r="R483" s="1126"/>
      <c r="S483" s="1126"/>
      <c r="T483" s="1126"/>
      <c r="U483" s="1126"/>
      <c r="V483" s="1126"/>
      <c r="W483" s="1126"/>
      <c r="X483" s="1126"/>
      <c r="Y483" s="1126"/>
      <c r="Z483" s="1126"/>
      <c r="AA483" s="1126"/>
    </row>
    <row r="484" ht="15.75" customHeight="1">
      <c r="A484" s="1126"/>
      <c r="B484" s="1126"/>
      <c r="C484" s="1126"/>
      <c r="D484" s="1126"/>
      <c r="E484" s="1126"/>
      <c r="F484" s="1126"/>
      <c r="G484" s="1126"/>
      <c r="H484" s="1126"/>
      <c r="I484" s="1126"/>
      <c r="J484" s="1126"/>
      <c r="K484" s="1126"/>
      <c r="L484" s="1126"/>
      <c r="M484" s="1126"/>
      <c r="N484" s="1126"/>
      <c r="O484" s="1126"/>
      <c r="P484" s="1126"/>
      <c r="Q484" s="1126"/>
      <c r="R484" s="1126"/>
      <c r="S484" s="1126"/>
      <c r="T484" s="1126"/>
      <c r="U484" s="1126"/>
      <c r="V484" s="1126"/>
      <c r="W484" s="1126"/>
      <c r="X484" s="1126"/>
      <c r="Y484" s="1126"/>
      <c r="Z484" s="1126"/>
      <c r="AA484" s="1126"/>
    </row>
    <row r="485" ht="15.75" customHeight="1">
      <c r="A485" s="1126"/>
      <c r="B485" s="1126"/>
      <c r="C485" s="1126"/>
      <c r="D485" s="1126"/>
      <c r="E485" s="1126"/>
      <c r="F485" s="1126"/>
      <c r="G485" s="1126"/>
      <c r="H485" s="1126"/>
      <c r="I485" s="1126"/>
      <c r="J485" s="1126"/>
      <c r="K485" s="1126"/>
      <c r="L485" s="1126"/>
      <c r="M485" s="1126"/>
      <c r="N485" s="1126"/>
      <c r="O485" s="1126"/>
      <c r="P485" s="1126"/>
      <c r="Q485" s="1126"/>
      <c r="R485" s="1126"/>
      <c r="S485" s="1126"/>
      <c r="T485" s="1126"/>
      <c r="U485" s="1126"/>
      <c r="V485" s="1126"/>
      <c r="W485" s="1126"/>
      <c r="X485" s="1126"/>
      <c r="Y485" s="1126"/>
      <c r="Z485" s="1126"/>
      <c r="AA485" s="1126"/>
    </row>
    <row r="486" ht="15.75" customHeight="1">
      <c r="A486" s="1126"/>
      <c r="B486" s="1126"/>
      <c r="C486" s="1126"/>
      <c r="D486" s="1126"/>
      <c r="E486" s="1126"/>
      <c r="F486" s="1126"/>
      <c r="G486" s="1126"/>
      <c r="H486" s="1126"/>
      <c r="I486" s="1126"/>
      <c r="J486" s="1126"/>
      <c r="K486" s="1126"/>
      <c r="L486" s="1126"/>
      <c r="M486" s="1126"/>
      <c r="N486" s="1126"/>
      <c r="O486" s="1126"/>
      <c r="P486" s="1126"/>
      <c r="Q486" s="1126"/>
      <c r="R486" s="1126"/>
      <c r="S486" s="1126"/>
      <c r="T486" s="1126"/>
      <c r="U486" s="1126"/>
      <c r="V486" s="1126"/>
      <c r="W486" s="1126"/>
      <c r="X486" s="1126"/>
      <c r="Y486" s="1126"/>
      <c r="Z486" s="1126"/>
      <c r="AA486" s="1126"/>
    </row>
    <row r="487" ht="15.75" customHeight="1">
      <c r="A487" s="1126"/>
      <c r="B487" s="1126"/>
      <c r="C487" s="1126"/>
      <c r="D487" s="1126"/>
      <c r="E487" s="1126"/>
      <c r="F487" s="1126"/>
      <c r="G487" s="1126"/>
      <c r="H487" s="1126"/>
      <c r="I487" s="1126"/>
      <c r="J487" s="1126"/>
      <c r="K487" s="1126"/>
      <c r="L487" s="1126"/>
      <c r="M487" s="1126"/>
      <c r="N487" s="1126"/>
      <c r="O487" s="1126"/>
      <c r="P487" s="1126"/>
      <c r="Q487" s="1126"/>
      <c r="R487" s="1126"/>
      <c r="S487" s="1126"/>
      <c r="T487" s="1126"/>
      <c r="U487" s="1126"/>
      <c r="V487" s="1126"/>
      <c r="W487" s="1126"/>
      <c r="X487" s="1126"/>
      <c r="Y487" s="1126"/>
      <c r="Z487" s="1126"/>
      <c r="AA487" s="1126"/>
    </row>
    <row r="488" ht="15.75" customHeight="1">
      <c r="A488" s="1126"/>
      <c r="B488" s="1126"/>
      <c r="C488" s="1126"/>
      <c r="D488" s="1126"/>
      <c r="E488" s="1126"/>
      <c r="F488" s="1126"/>
      <c r="G488" s="1126"/>
      <c r="H488" s="1126"/>
      <c r="I488" s="1126"/>
      <c r="J488" s="1126"/>
      <c r="K488" s="1126"/>
      <c r="L488" s="1126"/>
      <c r="M488" s="1126"/>
      <c r="N488" s="1126"/>
      <c r="O488" s="1126"/>
      <c r="P488" s="1126"/>
      <c r="Q488" s="1126"/>
      <c r="R488" s="1126"/>
      <c r="S488" s="1126"/>
      <c r="T488" s="1126"/>
      <c r="U488" s="1126"/>
      <c r="V488" s="1126"/>
      <c r="W488" s="1126"/>
      <c r="X488" s="1126"/>
      <c r="Y488" s="1126"/>
      <c r="Z488" s="1126"/>
      <c r="AA488" s="1126"/>
    </row>
    <row r="489" ht="15.75" customHeight="1">
      <c r="A489" s="1126"/>
      <c r="B489" s="1126"/>
      <c r="C489" s="1126"/>
      <c r="D489" s="1126"/>
      <c r="E489" s="1126"/>
      <c r="F489" s="1126"/>
      <c r="G489" s="1126"/>
      <c r="H489" s="1126"/>
      <c r="I489" s="1126"/>
      <c r="J489" s="1126"/>
      <c r="K489" s="1126"/>
      <c r="L489" s="1126"/>
      <c r="M489" s="1126"/>
      <c r="N489" s="1126"/>
      <c r="O489" s="1126"/>
      <c r="P489" s="1126"/>
      <c r="Q489" s="1126"/>
      <c r="R489" s="1126"/>
      <c r="S489" s="1126"/>
      <c r="T489" s="1126"/>
      <c r="U489" s="1126"/>
      <c r="V489" s="1126"/>
      <c r="W489" s="1126"/>
      <c r="X489" s="1126"/>
      <c r="Y489" s="1126"/>
      <c r="Z489" s="1126"/>
      <c r="AA489" s="1126"/>
    </row>
    <row r="490" ht="15.75" customHeight="1">
      <c r="A490" s="1126"/>
      <c r="B490" s="1126"/>
      <c r="C490" s="1126"/>
      <c r="D490" s="1126"/>
      <c r="E490" s="1126"/>
      <c r="F490" s="1126"/>
      <c r="G490" s="1126"/>
      <c r="H490" s="1126"/>
      <c r="I490" s="1126"/>
      <c r="J490" s="1126"/>
      <c r="K490" s="1126"/>
      <c r="L490" s="1126"/>
      <c r="M490" s="1126"/>
      <c r="N490" s="1126"/>
      <c r="O490" s="1126"/>
      <c r="P490" s="1126"/>
      <c r="Q490" s="1126"/>
      <c r="R490" s="1126"/>
      <c r="S490" s="1126"/>
      <c r="T490" s="1126"/>
      <c r="U490" s="1126"/>
      <c r="V490" s="1126"/>
      <c r="W490" s="1126"/>
      <c r="X490" s="1126"/>
      <c r="Y490" s="1126"/>
      <c r="Z490" s="1126"/>
      <c r="AA490" s="1126"/>
    </row>
    <row r="491" ht="15.75" customHeight="1">
      <c r="A491" s="1126"/>
      <c r="B491" s="1126"/>
      <c r="C491" s="1126"/>
      <c r="D491" s="1126"/>
      <c r="E491" s="1126"/>
      <c r="F491" s="1126"/>
      <c r="G491" s="1126"/>
      <c r="H491" s="1126"/>
      <c r="I491" s="1126"/>
      <c r="J491" s="1126"/>
      <c r="K491" s="1126"/>
      <c r="L491" s="1126"/>
      <c r="M491" s="1126"/>
      <c r="N491" s="1126"/>
      <c r="O491" s="1126"/>
      <c r="P491" s="1126"/>
      <c r="Q491" s="1126"/>
      <c r="R491" s="1126"/>
      <c r="S491" s="1126"/>
      <c r="T491" s="1126"/>
      <c r="U491" s="1126"/>
      <c r="V491" s="1126"/>
      <c r="W491" s="1126"/>
      <c r="X491" s="1126"/>
      <c r="Y491" s="1126"/>
      <c r="Z491" s="1126"/>
      <c r="AA491" s="1126"/>
    </row>
    <row r="492" ht="15.75" customHeight="1">
      <c r="A492" s="1126"/>
      <c r="B492" s="1126"/>
      <c r="C492" s="1126"/>
      <c r="D492" s="1126"/>
      <c r="E492" s="1126"/>
      <c r="F492" s="1126"/>
      <c r="G492" s="1126"/>
      <c r="H492" s="1126"/>
      <c r="I492" s="1126"/>
      <c r="J492" s="1126"/>
      <c r="K492" s="1126"/>
      <c r="L492" s="1126"/>
      <c r="M492" s="1126"/>
      <c r="N492" s="1126"/>
      <c r="O492" s="1126"/>
      <c r="P492" s="1126"/>
      <c r="Q492" s="1126"/>
      <c r="R492" s="1126"/>
      <c r="S492" s="1126"/>
      <c r="T492" s="1126"/>
      <c r="U492" s="1126"/>
      <c r="V492" s="1126"/>
      <c r="W492" s="1126"/>
      <c r="X492" s="1126"/>
      <c r="Y492" s="1126"/>
      <c r="Z492" s="1126"/>
      <c r="AA492" s="1126"/>
    </row>
    <row r="493" ht="15.75" customHeight="1">
      <c r="A493" s="1126"/>
      <c r="B493" s="1126"/>
      <c r="C493" s="1126"/>
      <c r="D493" s="1126"/>
      <c r="E493" s="1126"/>
      <c r="F493" s="1126"/>
      <c r="G493" s="1126"/>
      <c r="H493" s="1126"/>
      <c r="I493" s="1126"/>
      <c r="J493" s="1126"/>
      <c r="K493" s="1126"/>
      <c r="L493" s="1126"/>
      <c r="M493" s="1126"/>
      <c r="N493" s="1126"/>
      <c r="O493" s="1126"/>
      <c r="P493" s="1126"/>
      <c r="Q493" s="1126"/>
      <c r="R493" s="1126"/>
      <c r="S493" s="1126"/>
      <c r="T493" s="1126"/>
      <c r="U493" s="1126"/>
      <c r="V493" s="1126"/>
      <c r="W493" s="1126"/>
      <c r="X493" s="1126"/>
      <c r="Y493" s="1126"/>
      <c r="Z493" s="1126"/>
      <c r="AA493" s="1126"/>
    </row>
    <row r="494" ht="15.75" customHeight="1">
      <c r="A494" s="1126"/>
      <c r="B494" s="1126"/>
      <c r="C494" s="1126"/>
      <c r="D494" s="1126"/>
      <c r="E494" s="1126"/>
      <c r="F494" s="1126"/>
      <c r="G494" s="1126"/>
      <c r="H494" s="1126"/>
      <c r="I494" s="1126"/>
      <c r="J494" s="1126"/>
      <c r="K494" s="1126"/>
      <c r="L494" s="1126"/>
      <c r="M494" s="1126"/>
      <c r="N494" s="1126"/>
      <c r="O494" s="1126"/>
      <c r="P494" s="1126"/>
      <c r="Q494" s="1126"/>
      <c r="R494" s="1126"/>
      <c r="S494" s="1126"/>
      <c r="T494" s="1126"/>
      <c r="U494" s="1126"/>
      <c r="V494" s="1126"/>
      <c r="W494" s="1126"/>
      <c r="X494" s="1126"/>
      <c r="Y494" s="1126"/>
      <c r="Z494" s="1126"/>
      <c r="AA494" s="1126"/>
    </row>
    <row r="495" ht="15.75" customHeight="1">
      <c r="A495" s="1126"/>
      <c r="B495" s="1126"/>
      <c r="C495" s="1126"/>
      <c r="D495" s="1126"/>
      <c r="E495" s="1126"/>
      <c r="F495" s="1126"/>
      <c r="G495" s="1126"/>
      <c r="H495" s="1126"/>
      <c r="I495" s="1126"/>
      <c r="J495" s="1126"/>
      <c r="K495" s="1126"/>
      <c r="L495" s="1126"/>
      <c r="M495" s="1126"/>
      <c r="N495" s="1126"/>
      <c r="O495" s="1126"/>
      <c r="P495" s="1126"/>
      <c r="Q495" s="1126"/>
      <c r="R495" s="1126"/>
      <c r="S495" s="1126"/>
      <c r="T495" s="1126"/>
      <c r="U495" s="1126"/>
      <c r="V495" s="1126"/>
      <c r="W495" s="1126"/>
      <c r="X495" s="1126"/>
      <c r="Y495" s="1126"/>
      <c r="Z495" s="1126"/>
      <c r="AA495" s="1126"/>
    </row>
    <row r="496" ht="15.75" customHeight="1">
      <c r="A496" s="1126"/>
      <c r="B496" s="1126"/>
      <c r="C496" s="1126"/>
      <c r="D496" s="1126"/>
      <c r="E496" s="1126"/>
      <c r="F496" s="1126"/>
      <c r="G496" s="1126"/>
      <c r="H496" s="1126"/>
      <c r="I496" s="1126"/>
      <c r="J496" s="1126"/>
      <c r="K496" s="1126"/>
      <c r="L496" s="1126"/>
      <c r="M496" s="1126"/>
      <c r="N496" s="1126"/>
      <c r="O496" s="1126"/>
      <c r="P496" s="1126"/>
      <c r="Q496" s="1126"/>
      <c r="R496" s="1126"/>
      <c r="S496" s="1126"/>
      <c r="T496" s="1126"/>
      <c r="U496" s="1126"/>
      <c r="V496" s="1126"/>
      <c r="W496" s="1126"/>
      <c r="X496" s="1126"/>
      <c r="Y496" s="1126"/>
      <c r="Z496" s="1126"/>
      <c r="AA496" s="1126"/>
    </row>
    <row r="497" ht="15.75" customHeight="1">
      <c r="A497" s="1126"/>
      <c r="B497" s="1126"/>
      <c r="C497" s="1126"/>
      <c r="D497" s="1126"/>
      <c r="E497" s="1126"/>
      <c r="F497" s="1126"/>
      <c r="G497" s="1126"/>
      <c r="H497" s="1126"/>
      <c r="I497" s="1126"/>
      <c r="J497" s="1126"/>
      <c r="K497" s="1126"/>
      <c r="L497" s="1126"/>
      <c r="M497" s="1126"/>
      <c r="N497" s="1126"/>
      <c r="O497" s="1126"/>
      <c r="P497" s="1126"/>
      <c r="Q497" s="1126"/>
      <c r="R497" s="1126"/>
      <c r="S497" s="1126"/>
      <c r="T497" s="1126"/>
      <c r="U497" s="1126"/>
      <c r="V497" s="1126"/>
      <c r="W497" s="1126"/>
      <c r="X497" s="1126"/>
      <c r="Y497" s="1126"/>
      <c r="Z497" s="1126"/>
      <c r="AA497" s="1126"/>
    </row>
    <row r="498" ht="15.75" customHeight="1">
      <c r="A498" s="1126"/>
      <c r="B498" s="1126"/>
      <c r="C498" s="1126"/>
      <c r="D498" s="1126"/>
      <c r="E498" s="1126"/>
      <c r="F498" s="1126"/>
      <c r="G498" s="1126"/>
      <c r="H498" s="1126"/>
      <c r="I498" s="1126"/>
      <c r="J498" s="1126"/>
      <c r="K498" s="1126"/>
      <c r="L498" s="1126"/>
      <c r="M498" s="1126"/>
      <c r="N498" s="1126"/>
      <c r="O498" s="1126"/>
      <c r="P498" s="1126"/>
      <c r="Q498" s="1126"/>
      <c r="R498" s="1126"/>
      <c r="S498" s="1126"/>
      <c r="T498" s="1126"/>
      <c r="U498" s="1126"/>
      <c r="V498" s="1126"/>
      <c r="W498" s="1126"/>
      <c r="X498" s="1126"/>
      <c r="Y498" s="1126"/>
      <c r="Z498" s="1126"/>
      <c r="AA498" s="1126"/>
    </row>
    <row r="499" ht="15.75" customHeight="1">
      <c r="A499" s="1126"/>
      <c r="B499" s="1126"/>
      <c r="C499" s="1126"/>
      <c r="D499" s="1126"/>
      <c r="E499" s="1126"/>
      <c r="F499" s="1126"/>
      <c r="G499" s="1126"/>
      <c r="H499" s="1126"/>
      <c r="I499" s="1126"/>
      <c r="J499" s="1126"/>
      <c r="K499" s="1126"/>
      <c r="L499" s="1126"/>
      <c r="M499" s="1126"/>
      <c r="N499" s="1126"/>
      <c r="O499" s="1126"/>
      <c r="P499" s="1126"/>
      <c r="Q499" s="1126"/>
      <c r="R499" s="1126"/>
      <c r="S499" s="1126"/>
      <c r="T499" s="1126"/>
      <c r="U499" s="1126"/>
      <c r="V499" s="1126"/>
      <c r="W499" s="1126"/>
      <c r="X499" s="1126"/>
      <c r="Y499" s="1126"/>
      <c r="Z499" s="1126"/>
      <c r="AA499" s="1126"/>
    </row>
    <row r="500" ht="15.75" customHeight="1">
      <c r="A500" s="1126"/>
      <c r="B500" s="1126"/>
      <c r="C500" s="1126"/>
      <c r="D500" s="1126"/>
      <c r="E500" s="1126"/>
      <c r="F500" s="1126"/>
      <c r="G500" s="1126"/>
      <c r="H500" s="1126"/>
      <c r="I500" s="1126"/>
      <c r="J500" s="1126"/>
      <c r="K500" s="1126"/>
      <c r="L500" s="1126"/>
      <c r="M500" s="1126"/>
      <c r="N500" s="1126"/>
      <c r="O500" s="1126"/>
      <c r="P500" s="1126"/>
      <c r="Q500" s="1126"/>
      <c r="R500" s="1126"/>
      <c r="S500" s="1126"/>
      <c r="T500" s="1126"/>
      <c r="U500" s="1126"/>
      <c r="V500" s="1126"/>
      <c r="W500" s="1126"/>
      <c r="X500" s="1126"/>
      <c r="Y500" s="1126"/>
      <c r="Z500" s="1126"/>
      <c r="AA500" s="1126"/>
    </row>
    <row r="501" ht="15.75" customHeight="1">
      <c r="A501" s="1126"/>
      <c r="B501" s="1126"/>
      <c r="C501" s="1126"/>
      <c r="D501" s="1126"/>
      <c r="E501" s="1126"/>
      <c r="F501" s="1126"/>
      <c r="G501" s="1126"/>
      <c r="H501" s="1126"/>
      <c r="I501" s="1126"/>
      <c r="J501" s="1126"/>
      <c r="K501" s="1126"/>
      <c r="L501" s="1126"/>
      <c r="M501" s="1126"/>
      <c r="N501" s="1126"/>
      <c r="O501" s="1126"/>
      <c r="P501" s="1126"/>
      <c r="Q501" s="1126"/>
      <c r="R501" s="1126"/>
      <c r="S501" s="1126"/>
      <c r="T501" s="1126"/>
      <c r="U501" s="1126"/>
      <c r="V501" s="1126"/>
      <c r="W501" s="1126"/>
      <c r="X501" s="1126"/>
      <c r="Y501" s="1126"/>
      <c r="Z501" s="1126"/>
      <c r="AA501" s="1126"/>
    </row>
    <row r="502" ht="15.75" customHeight="1">
      <c r="A502" s="1126"/>
      <c r="B502" s="1126"/>
      <c r="C502" s="1126"/>
      <c r="D502" s="1126"/>
      <c r="E502" s="1126"/>
      <c r="F502" s="1126"/>
      <c r="G502" s="1126"/>
      <c r="H502" s="1126"/>
      <c r="I502" s="1126"/>
      <c r="J502" s="1126"/>
      <c r="K502" s="1126"/>
      <c r="L502" s="1126"/>
      <c r="M502" s="1126"/>
      <c r="N502" s="1126"/>
      <c r="O502" s="1126"/>
      <c r="P502" s="1126"/>
      <c r="Q502" s="1126"/>
      <c r="R502" s="1126"/>
      <c r="S502" s="1126"/>
      <c r="T502" s="1126"/>
      <c r="U502" s="1126"/>
      <c r="V502" s="1126"/>
      <c r="W502" s="1126"/>
      <c r="X502" s="1126"/>
      <c r="Y502" s="1126"/>
      <c r="Z502" s="1126"/>
      <c r="AA502" s="1126"/>
    </row>
    <row r="503" ht="15.75" customHeight="1">
      <c r="A503" s="1126"/>
      <c r="B503" s="1126"/>
      <c r="C503" s="1126"/>
      <c r="D503" s="1126"/>
      <c r="E503" s="1126"/>
      <c r="F503" s="1126"/>
      <c r="G503" s="1126"/>
      <c r="H503" s="1126"/>
      <c r="I503" s="1126"/>
      <c r="J503" s="1126"/>
      <c r="K503" s="1126"/>
      <c r="L503" s="1126"/>
      <c r="M503" s="1126"/>
      <c r="N503" s="1126"/>
      <c r="O503" s="1126"/>
      <c r="P503" s="1126"/>
      <c r="Q503" s="1126"/>
      <c r="R503" s="1126"/>
      <c r="S503" s="1126"/>
      <c r="T503" s="1126"/>
      <c r="U503" s="1126"/>
      <c r="V503" s="1126"/>
      <c r="W503" s="1126"/>
      <c r="X503" s="1126"/>
      <c r="Y503" s="1126"/>
      <c r="Z503" s="1126"/>
      <c r="AA503" s="1126"/>
    </row>
    <row r="504" ht="15.75" customHeight="1">
      <c r="A504" s="1126"/>
      <c r="B504" s="1126"/>
      <c r="C504" s="1126"/>
      <c r="D504" s="1126"/>
      <c r="E504" s="1126"/>
      <c r="F504" s="1126"/>
      <c r="G504" s="1126"/>
      <c r="H504" s="1126"/>
      <c r="I504" s="1126"/>
      <c r="J504" s="1126"/>
      <c r="K504" s="1126"/>
      <c r="L504" s="1126"/>
      <c r="M504" s="1126"/>
      <c r="N504" s="1126"/>
      <c r="O504" s="1126"/>
      <c r="P504" s="1126"/>
      <c r="Q504" s="1126"/>
      <c r="R504" s="1126"/>
      <c r="S504" s="1126"/>
      <c r="T504" s="1126"/>
      <c r="U504" s="1126"/>
      <c r="V504" s="1126"/>
      <c r="W504" s="1126"/>
      <c r="X504" s="1126"/>
      <c r="Y504" s="1126"/>
      <c r="Z504" s="1126"/>
      <c r="AA504" s="1126"/>
    </row>
    <row r="505" ht="15.75" customHeight="1">
      <c r="A505" s="1126"/>
      <c r="B505" s="1126"/>
      <c r="C505" s="1126"/>
      <c r="D505" s="1126"/>
      <c r="E505" s="1126"/>
      <c r="F505" s="1126"/>
      <c r="G505" s="1126"/>
      <c r="H505" s="1126"/>
      <c r="I505" s="1126"/>
      <c r="J505" s="1126"/>
      <c r="K505" s="1126"/>
      <c r="L505" s="1126"/>
      <c r="M505" s="1126"/>
      <c r="N505" s="1126"/>
      <c r="O505" s="1126"/>
      <c r="P505" s="1126"/>
      <c r="Q505" s="1126"/>
      <c r="R505" s="1126"/>
      <c r="S505" s="1126"/>
      <c r="T505" s="1126"/>
      <c r="U505" s="1126"/>
      <c r="V505" s="1126"/>
      <c r="W505" s="1126"/>
      <c r="X505" s="1126"/>
      <c r="Y505" s="1126"/>
      <c r="Z505" s="1126"/>
      <c r="AA505" s="1126"/>
    </row>
    <row r="506" ht="15.75" customHeight="1">
      <c r="A506" s="1126"/>
      <c r="B506" s="1126"/>
      <c r="C506" s="1126"/>
      <c r="D506" s="1126"/>
      <c r="E506" s="1126"/>
      <c r="F506" s="1126"/>
      <c r="G506" s="1126"/>
      <c r="H506" s="1126"/>
      <c r="I506" s="1126"/>
      <c r="J506" s="1126"/>
      <c r="K506" s="1126"/>
      <c r="L506" s="1126"/>
      <c r="M506" s="1126"/>
      <c r="N506" s="1126"/>
      <c r="O506" s="1126"/>
      <c r="P506" s="1126"/>
      <c r="Q506" s="1126"/>
      <c r="R506" s="1126"/>
      <c r="S506" s="1126"/>
      <c r="T506" s="1126"/>
      <c r="U506" s="1126"/>
      <c r="V506" s="1126"/>
      <c r="W506" s="1126"/>
      <c r="X506" s="1126"/>
      <c r="Y506" s="1126"/>
      <c r="Z506" s="1126"/>
      <c r="AA506" s="1126"/>
    </row>
    <row r="507" ht="15.75" customHeight="1">
      <c r="A507" s="1126"/>
      <c r="B507" s="1126"/>
      <c r="C507" s="1126"/>
      <c r="D507" s="1126"/>
      <c r="E507" s="1126"/>
      <c r="F507" s="1126"/>
      <c r="G507" s="1126"/>
      <c r="H507" s="1126"/>
      <c r="I507" s="1126"/>
      <c r="J507" s="1126"/>
      <c r="K507" s="1126"/>
      <c r="L507" s="1126"/>
      <c r="M507" s="1126"/>
      <c r="N507" s="1126"/>
      <c r="O507" s="1126"/>
      <c r="P507" s="1126"/>
      <c r="Q507" s="1126"/>
      <c r="R507" s="1126"/>
      <c r="S507" s="1126"/>
      <c r="T507" s="1126"/>
      <c r="U507" s="1126"/>
      <c r="V507" s="1126"/>
      <c r="W507" s="1126"/>
      <c r="X507" s="1126"/>
      <c r="Y507" s="1126"/>
      <c r="Z507" s="1126"/>
      <c r="AA507" s="1126"/>
    </row>
    <row r="508" ht="15.75" customHeight="1">
      <c r="A508" s="1126"/>
      <c r="B508" s="1126"/>
      <c r="C508" s="1126"/>
      <c r="D508" s="1126"/>
      <c r="E508" s="1126"/>
      <c r="F508" s="1126"/>
      <c r="G508" s="1126"/>
      <c r="H508" s="1126"/>
      <c r="I508" s="1126"/>
      <c r="J508" s="1126"/>
      <c r="K508" s="1126"/>
      <c r="L508" s="1126"/>
      <c r="M508" s="1126"/>
      <c r="N508" s="1126"/>
      <c r="O508" s="1126"/>
      <c r="P508" s="1126"/>
      <c r="Q508" s="1126"/>
      <c r="R508" s="1126"/>
      <c r="S508" s="1126"/>
      <c r="T508" s="1126"/>
      <c r="U508" s="1126"/>
      <c r="V508" s="1126"/>
      <c r="W508" s="1126"/>
      <c r="X508" s="1126"/>
      <c r="Y508" s="1126"/>
      <c r="Z508" s="1126"/>
      <c r="AA508" s="1126"/>
    </row>
    <row r="509" ht="15.75" customHeight="1">
      <c r="A509" s="1126"/>
      <c r="B509" s="1126"/>
      <c r="C509" s="1126"/>
      <c r="D509" s="1126"/>
      <c r="E509" s="1126"/>
      <c r="F509" s="1126"/>
      <c r="G509" s="1126"/>
      <c r="H509" s="1126"/>
      <c r="I509" s="1126"/>
      <c r="J509" s="1126"/>
      <c r="K509" s="1126"/>
      <c r="L509" s="1126"/>
      <c r="M509" s="1126"/>
      <c r="N509" s="1126"/>
      <c r="O509" s="1126"/>
      <c r="P509" s="1126"/>
      <c r="Q509" s="1126"/>
      <c r="R509" s="1126"/>
      <c r="S509" s="1126"/>
      <c r="T509" s="1126"/>
      <c r="U509" s="1126"/>
      <c r="V509" s="1126"/>
      <c r="W509" s="1126"/>
      <c r="X509" s="1126"/>
      <c r="Y509" s="1126"/>
      <c r="Z509" s="1126"/>
      <c r="AA509" s="1126"/>
    </row>
    <row r="510" ht="15.75" customHeight="1">
      <c r="A510" s="1126"/>
      <c r="B510" s="1126"/>
      <c r="C510" s="1126"/>
      <c r="D510" s="1126"/>
      <c r="E510" s="1126"/>
      <c r="F510" s="1126"/>
      <c r="G510" s="1126"/>
      <c r="H510" s="1126"/>
      <c r="I510" s="1126"/>
      <c r="J510" s="1126"/>
      <c r="K510" s="1126"/>
      <c r="L510" s="1126"/>
      <c r="M510" s="1126"/>
      <c r="N510" s="1126"/>
      <c r="O510" s="1126"/>
      <c r="P510" s="1126"/>
      <c r="Q510" s="1126"/>
      <c r="R510" s="1126"/>
      <c r="S510" s="1126"/>
      <c r="T510" s="1126"/>
      <c r="U510" s="1126"/>
      <c r="V510" s="1126"/>
      <c r="W510" s="1126"/>
      <c r="X510" s="1126"/>
      <c r="Y510" s="1126"/>
      <c r="Z510" s="1126"/>
      <c r="AA510" s="1126"/>
    </row>
    <row r="511" ht="15.75" customHeight="1">
      <c r="A511" s="1126"/>
      <c r="B511" s="1126"/>
      <c r="C511" s="1126"/>
      <c r="D511" s="1126"/>
      <c r="E511" s="1126"/>
      <c r="F511" s="1126"/>
      <c r="G511" s="1126"/>
      <c r="H511" s="1126"/>
      <c r="I511" s="1126"/>
      <c r="J511" s="1126"/>
      <c r="K511" s="1126"/>
      <c r="L511" s="1126"/>
      <c r="M511" s="1126"/>
      <c r="N511" s="1126"/>
      <c r="O511" s="1126"/>
      <c r="P511" s="1126"/>
      <c r="Q511" s="1126"/>
      <c r="R511" s="1126"/>
      <c r="S511" s="1126"/>
      <c r="T511" s="1126"/>
      <c r="U511" s="1126"/>
      <c r="V511" s="1126"/>
      <c r="W511" s="1126"/>
      <c r="X511" s="1126"/>
      <c r="Y511" s="1126"/>
      <c r="Z511" s="1126"/>
      <c r="AA511" s="1126"/>
    </row>
    <row r="512" ht="15.75" customHeight="1">
      <c r="A512" s="1126"/>
      <c r="B512" s="1126"/>
      <c r="C512" s="1126"/>
      <c r="D512" s="1126"/>
      <c r="E512" s="1126"/>
      <c r="F512" s="1126"/>
      <c r="G512" s="1126"/>
      <c r="H512" s="1126"/>
      <c r="I512" s="1126"/>
      <c r="J512" s="1126"/>
      <c r="K512" s="1126"/>
      <c r="L512" s="1126"/>
      <c r="M512" s="1126"/>
      <c r="N512" s="1126"/>
      <c r="O512" s="1126"/>
      <c r="P512" s="1126"/>
      <c r="Q512" s="1126"/>
      <c r="R512" s="1126"/>
      <c r="S512" s="1126"/>
      <c r="T512" s="1126"/>
      <c r="U512" s="1126"/>
      <c r="V512" s="1126"/>
      <c r="W512" s="1126"/>
      <c r="X512" s="1126"/>
      <c r="Y512" s="1126"/>
      <c r="Z512" s="1126"/>
      <c r="AA512" s="1126"/>
    </row>
    <row r="513" ht="15.75" customHeight="1">
      <c r="A513" s="1126"/>
      <c r="B513" s="1126"/>
      <c r="C513" s="1126"/>
      <c r="D513" s="1126"/>
      <c r="E513" s="1126"/>
      <c r="F513" s="1126"/>
      <c r="G513" s="1126"/>
      <c r="H513" s="1126"/>
      <c r="I513" s="1126"/>
      <c r="J513" s="1126"/>
      <c r="K513" s="1126"/>
      <c r="L513" s="1126"/>
      <c r="M513" s="1126"/>
      <c r="N513" s="1126"/>
      <c r="O513" s="1126"/>
      <c r="P513" s="1126"/>
      <c r="Q513" s="1126"/>
      <c r="R513" s="1126"/>
      <c r="S513" s="1126"/>
      <c r="T513" s="1126"/>
      <c r="U513" s="1126"/>
      <c r="V513" s="1126"/>
      <c r="W513" s="1126"/>
      <c r="X513" s="1126"/>
      <c r="Y513" s="1126"/>
      <c r="Z513" s="1126"/>
      <c r="AA513" s="1126"/>
    </row>
    <row r="514" ht="15.75" customHeight="1">
      <c r="A514" s="1126"/>
      <c r="B514" s="1126"/>
      <c r="C514" s="1126"/>
      <c r="D514" s="1126"/>
      <c r="E514" s="1126"/>
      <c r="F514" s="1126"/>
      <c r="G514" s="1126"/>
      <c r="H514" s="1126"/>
      <c r="I514" s="1126"/>
      <c r="J514" s="1126"/>
      <c r="K514" s="1126"/>
      <c r="L514" s="1126"/>
      <c r="M514" s="1126"/>
      <c r="N514" s="1126"/>
      <c r="O514" s="1126"/>
      <c r="P514" s="1126"/>
      <c r="Q514" s="1126"/>
      <c r="R514" s="1126"/>
      <c r="S514" s="1126"/>
      <c r="T514" s="1126"/>
      <c r="U514" s="1126"/>
      <c r="V514" s="1126"/>
      <c r="W514" s="1126"/>
      <c r="X514" s="1126"/>
      <c r="Y514" s="1126"/>
      <c r="Z514" s="1126"/>
      <c r="AA514" s="1126"/>
    </row>
    <row r="515" ht="15.75" customHeight="1">
      <c r="A515" s="1126"/>
      <c r="B515" s="1126"/>
      <c r="C515" s="1126"/>
      <c r="D515" s="1126"/>
      <c r="E515" s="1126"/>
      <c r="F515" s="1126"/>
      <c r="G515" s="1126"/>
      <c r="H515" s="1126"/>
      <c r="I515" s="1126"/>
      <c r="J515" s="1126"/>
      <c r="K515" s="1126"/>
      <c r="L515" s="1126"/>
      <c r="M515" s="1126"/>
      <c r="N515" s="1126"/>
      <c r="O515" s="1126"/>
      <c r="P515" s="1126"/>
      <c r="Q515" s="1126"/>
      <c r="R515" s="1126"/>
      <c r="S515" s="1126"/>
      <c r="T515" s="1126"/>
      <c r="U515" s="1126"/>
      <c r="V515" s="1126"/>
      <c r="W515" s="1126"/>
      <c r="X515" s="1126"/>
      <c r="Y515" s="1126"/>
      <c r="Z515" s="1126"/>
      <c r="AA515" s="1126"/>
    </row>
    <row r="516" ht="15.75" customHeight="1">
      <c r="A516" s="1126"/>
      <c r="B516" s="1126"/>
      <c r="C516" s="1126"/>
      <c r="D516" s="1126"/>
      <c r="E516" s="1126"/>
      <c r="F516" s="1126"/>
      <c r="G516" s="1126"/>
      <c r="H516" s="1126"/>
      <c r="I516" s="1126"/>
      <c r="J516" s="1126"/>
      <c r="K516" s="1126"/>
      <c r="L516" s="1126"/>
      <c r="M516" s="1126"/>
      <c r="N516" s="1126"/>
      <c r="O516" s="1126"/>
      <c r="P516" s="1126"/>
      <c r="Q516" s="1126"/>
      <c r="R516" s="1126"/>
      <c r="S516" s="1126"/>
      <c r="T516" s="1126"/>
      <c r="U516" s="1126"/>
      <c r="V516" s="1126"/>
      <c r="W516" s="1126"/>
      <c r="X516" s="1126"/>
      <c r="Y516" s="1126"/>
      <c r="Z516" s="1126"/>
      <c r="AA516" s="1126"/>
    </row>
    <row r="517" ht="15.75" customHeight="1">
      <c r="A517" s="1126"/>
      <c r="B517" s="1126"/>
      <c r="C517" s="1126"/>
      <c r="D517" s="1126"/>
      <c r="E517" s="1126"/>
      <c r="F517" s="1126"/>
      <c r="G517" s="1126"/>
      <c r="H517" s="1126"/>
      <c r="I517" s="1126"/>
      <c r="J517" s="1126"/>
      <c r="K517" s="1126"/>
      <c r="L517" s="1126"/>
      <c r="M517" s="1126"/>
      <c r="N517" s="1126"/>
      <c r="O517" s="1126"/>
      <c r="P517" s="1126"/>
      <c r="Q517" s="1126"/>
      <c r="R517" s="1126"/>
      <c r="S517" s="1126"/>
      <c r="T517" s="1126"/>
      <c r="U517" s="1126"/>
      <c r="V517" s="1126"/>
      <c r="W517" s="1126"/>
      <c r="X517" s="1126"/>
      <c r="Y517" s="1126"/>
      <c r="Z517" s="1126"/>
      <c r="AA517" s="1126"/>
    </row>
    <row r="518" ht="15.75" customHeight="1">
      <c r="A518" s="1126"/>
      <c r="B518" s="1126"/>
      <c r="C518" s="1126"/>
      <c r="D518" s="1126"/>
      <c r="E518" s="1126"/>
      <c r="F518" s="1126"/>
      <c r="G518" s="1126"/>
      <c r="H518" s="1126"/>
      <c r="I518" s="1126"/>
      <c r="J518" s="1126"/>
      <c r="K518" s="1126"/>
      <c r="L518" s="1126"/>
      <c r="M518" s="1126"/>
      <c r="N518" s="1126"/>
      <c r="O518" s="1126"/>
      <c r="P518" s="1126"/>
      <c r="Q518" s="1126"/>
      <c r="R518" s="1126"/>
      <c r="S518" s="1126"/>
      <c r="T518" s="1126"/>
      <c r="U518" s="1126"/>
      <c r="V518" s="1126"/>
      <c r="W518" s="1126"/>
      <c r="X518" s="1126"/>
      <c r="Y518" s="1126"/>
      <c r="Z518" s="1126"/>
      <c r="AA518" s="1126"/>
    </row>
    <row r="519" ht="15.75" customHeight="1">
      <c r="A519" s="1126"/>
      <c r="B519" s="1126"/>
      <c r="C519" s="1126"/>
      <c r="D519" s="1126"/>
      <c r="E519" s="1126"/>
      <c r="F519" s="1126"/>
      <c r="G519" s="1126"/>
      <c r="H519" s="1126"/>
      <c r="I519" s="1126"/>
      <c r="J519" s="1126"/>
      <c r="K519" s="1126"/>
      <c r="L519" s="1126"/>
      <c r="M519" s="1126"/>
      <c r="N519" s="1126"/>
      <c r="O519" s="1126"/>
      <c r="P519" s="1126"/>
      <c r="Q519" s="1126"/>
      <c r="R519" s="1126"/>
      <c r="S519" s="1126"/>
      <c r="T519" s="1126"/>
      <c r="U519" s="1126"/>
      <c r="V519" s="1126"/>
      <c r="W519" s="1126"/>
      <c r="X519" s="1126"/>
      <c r="Y519" s="1126"/>
      <c r="Z519" s="1126"/>
      <c r="AA519" s="1126"/>
    </row>
    <row r="520" ht="15.75" customHeight="1">
      <c r="A520" s="1126"/>
      <c r="B520" s="1126"/>
      <c r="C520" s="1126"/>
      <c r="D520" s="1126"/>
      <c r="E520" s="1126"/>
      <c r="F520" s="1126"/>
      <c r="G520" s="1126"/>
      <c r="H520" s="1126"/>
      <c r="I520" s="1126"/>
      <c r="J520" s="1126"/>
      <c r="K520" s="1126"/>
      <c r="L520" s="1126"/>
      <c r="M520" s="1126"/>
      <c r="N520" s="1126"/>
      <c r="O520" s="1126"/>
      <c r="P520" s="1126"/>
      <c r="Q520" s="1126"/>
      <c r="R520" s="1126"/>
      <c r="S520" s="1126"/>
      <c r="T520" s="1126"/>
      <c r="U520" s="1126"/>
      <c r="V520" s="1126"/>
      <c r="W520" s="1126"/>
      <c r="X520" s="1126"/>
      <c r="Y520" s="1126"/>
      <c r="Z520" s="1126"/>
      <c r="AA520" s="1126"/>
    </row>
    <row r="521" ht="15.75" customHeight="1">
      <c r="A521" s="1126"/>
      <c r="B521" s="1126"/>
      <c r="C521" s="1126"/>
      <c r="D521" s="1126"/>
      <c r="E521" s="1126"/>
      <c r="F521" s="1126"/>
      <c r="G521" s="1126"/>
      <c r="H521" s="1126"/>
      <c r="I521" s="1126"/>
      <c r="J521" s="1126"/>
      <c r="K521" s="1126"/>
      <c r="L521" s="1126"/>
      <c r="M521" s="1126"/>
      <c r="N521" s="1126"/>
      <c r="O521" s="1126"/>
      <c r="P521" s="1126"/>
      <c r="Q521" s="1126"/>
      <c r="R521" s="1126"/>
      <c r="S521" s="1126"/>
      <c r="T521" s="1126"/>
      <c r="U521" s="1126"/>
      <c r="V521" s="1126"/>
      <c r="W521" s="1126"/>
      <c r="X521" s="1126"/>
      <c r="Y521" s="1126"/>
      <c r="Z521" s="1126"/>
      <c r="AA521" s="1126"/>
    </row>
    <row r="522" ht="15.75" customHeight="1">
      <c r="A522" s="1126"/>
      <c r="B522" s="1126"/>
      <c r="C522" s="1126"/>
      <c r="D522" s="1126"/>
      <c r="E522" s="1126"/>
      <c r="F522" s="1126"/>
      <c r="G522" s="1126"/>
      <c r="H522" s="1126"/>
      <c r="I522" s="1126"/>
      <c r="J522" s="1126"/>
      <c r="K522" s="1126"/>
      <c r="L522" s="1126"/>
      <c r="M522" s="1126"/>
      <c r="N522" s="1126"/>
      <c r="O522" s="1126"/>
      <c r="P522" s="1126"/>
      <c r="Q522" s="1126"/>
      <c r="R522" s="1126"/>
      <c r="S522" s="1126"/>
      <c r="T522" s="1126"/>
      <c r="U522" s="1126"/>
      <c r="V522" s="1126"/>
      <c r="W522" s="1126"/>
      <c r="X522" s="1126"/>
      <c r="Y522" s="1126"/>
      <c r="Z522" s="1126"/>
      <c r="AA522" s="1126"/>
    </row>
    <row r="523" ht="15.75" customHeight="1">
      <c r="A523" s="1126"/>
      <c r="B523" s="1126"/>
      <c r="C523" s="1126"/>
      <c r="D523" s="1126"/>
      <c r="E523" s="1126"/>
      <c r="F523" s="1126"/>
      <c r="G523" s="1126"/>
      <c r="H523" s="1126"/>
      <c r="I523" s="1126"/>
      <c r="J523" s="1126"/>
      <c r="K523" s="1126"/>
      <c r="L523" s="1126"/>
      <c r="M523" s="1126"/>
      <c r="N523" s="1126"/>
      <c r="O523" s="1126"/>
      <c r="P523" s="1126"/>
      <c r="Q523" s="1126"/>
      <c r="R523" s="1126"/>
      <c r="S523" s="1126"/>
      <c r="T523" s="1126"/>
      <c r="U523" s="1126"/>
      <c r="V523" s="1126"/>
      <c r="W523" s="1126"/>
      <c r="X523" s="1126"/>
      <c r="Y523" s="1126"/>
      <c r="Z523" s="1126"/>
      <c r="AA523" s="1126"/>
    </row>
    <row r="524" ht="15.75" customHeight="1">
      <c r="A524" s="1126"/>
      <c r="B524" s="1126"/>
      <c r="C524" s="1126"/>
      <c r="D524" s="1126"/>
      <c r="E524" s="1126"/>
      <c r="F524" s="1126"/>
      <c r="G524" s="1126"/>
      <c r="H524" s="1126"/>
      <c r="I524" s="1126"/>
      <c r="J524" s="1126"/>
      <c r="K524" s="1126"/>
      <c r="L524" s="1126"/>
      <c r="M524" s="1126"/>
      <c r="N524" s="1126"/>
      <c r="O524" s="1126"/>
      <c r="P524" s="1126"/>
      <c r="Q524" s="1126"/>
      <c r="R524" s="1126"/>
      <c r="S524" s="1126"/>
      <c r="T524" s="1126"/>
      <c r="U524" s="1126"/>
      <c r="V524" s="1126"/>
      <c r="W524" s="1126"/>
      <c r="X524" s="1126"/>
      <c r="Y524" s="1126"/>
      <c r="Z524" s="1126"/>
      <c r="AA524" s="1126"/>
    </row>
    <row r="525" ht="15.75" customHeight="1">
      <c r="A525" s="1126"/>
      <c r="B525" s="1126"/>
      <c r="C525" s="1126"/>
      <c r="D525" s="1126"/>
      <c r="E525" s="1126"/>
      <c r="F525" s="1126"/>
      <c r="G525" s="1126"/>
      <c r="H525" s="1126"/>
      <c r="I525" s="1126"/>
      <c r="J525" s="1126"/>
      <c r="K525" s="1126"/>
      <c r="L525" s="1126"/>
      <c r="M525" s="1126"/>
      <c r="N525" s="1126"/>
      <c r="O525" s="1126"/>
      <c r="P525" s="1126"/>
      <c r="Q525" s="1126"/>
      <c r="R525" s="1126"/>
      <c r="S525" s="1126"/>
      <c r="T525" s="1126"/>
      <c r="U525" s="1126"/>
      <c r="V525" s="1126"/>
      <c r="W525" s="1126"/>
      <c r="X525" s="1126"/>
      <c r="Y525" s="1126"/>
      <c r="Z525" s="1126"/>
      <c r="AA525" s="1126"/>
    </row>
    <row r="526" ht="15.75" customHeight="1">
      <c r="A526" s="1126"/>
      <c r="B526" s="1126"/>
      <c r="C526" s="1126"/>
      <c r="D526" s="1126"/>
      <c r="E526" s="1126"/>
      <c r="F526" s="1126"/>
      <c r="G526" s="1126"/>
      <c r="H526" s="1126"/>
      <c r="I526" s="1126"/>
      <c r="J526" s="1126"/>
      <c r="K526" s="1126"/>
      <c r="L526" s="1126"/>
      <c r="M526" s="1126"/>
      <c r="N526" s="1126"/>
      <c r="O526" s="1126"/>
      <c r="P526" s="1126"/>
      <c r="Q526" s="1126"/>
      <c r="R526" s="1126"/>
      <c r="S526" s="1126"/>
      <c r="T526" s="1126"/>
      <c r="U526" s="1126"/>
      <c r="V526" s="1126"/>
      <c r="W526" s="1126"/>
      <c r="X526" s="1126"/>
      <c r="Y526" s="1126"/>
      <c r="Z526" s="1126"/>
      <c r="AA526" s="1126"/>
    </row>
    <row r="527" ht="15.75" customHeight="1">
      <c r="A527" s="1126"/>
      <c r="B527" s="1126"/>
      <c r="C527" s="1126"/>
      <c r="D527" s="1126"/>
      <c r="E527" s="1126"/>
      <c r="F527" s="1126"/>
      <c r="G527" s="1126"/>
      <c r="H527" s="1126"/>
      <c r="I527" s="1126"/>
      <c r="J527" s="1126"/>
      <c r="K527" s="1126"/>
      <c r="L527" s="1126"/>
      <c r="M527" s="1126"/>
      <c r="N527" s="1126"/>
      <c r="O527" s="1126"/>
      <c r="P527" s="1126"/>
      <c r="Q527" s="1126"/>
      <c r="R527" s="1126"/>
      <c r="S527" s="1126"/>
      <c r="T527" s="1126"/>
      <c r="U527" s="1126"/>
      <c r="V527" s="1126"/>
      <c r="W527" s="1126"/>
      <c r="X527" s="1126"/>
      <c r="Y527" s="1126"/>
      <c r="Z527" s="1126"/>
      <c r="AA527" s="1126"/>
    </row>
    <row r="528" ht="15.75" customHeight="1">
      <c r="A528" s="1126"/>
      <c r="B528" s="1126"/>
      <c r="C528" s="1126"/>
      <c r="D528" s="1126"/>
      <c r="E528" s="1126"/>
      <c r="F528" s="1126"/>
      <c r="G528" s="1126"/>
      <c r="H528" s="1126"/>
      <c r="I528" s="1126"/>
      <c r="J528" s="1126"/>
      <c r="K528" s="1126"/>
      <c r="L528" s="1126"/>
      <c r="M528" s="1126"/>
      <c r="N528" s="1126"/>
      <c r="O528" s="1126"/>
      <c r="P528" s="1126"/>
      <c r="Q528" s="1126"/>
      <c r="R528" s="1126"/>
      <c r="S528" s="1126"/>
      <c r="T528" s="1126"/>
      <c r="U528" s="1126"/>
      <c r="V528" s="1126"/>
      <c r="W528" s="1126"/>
      <c r="X528" s="1126"/>
      <c r="Y528" s="1126"/>
      <c r="Z528" s="1126"/>
      <c r="AA528" s="1126"/>
    </row>
    <row r="529" ht="15.75" customHeight="1">
      <c r="A529" s="1126"/>
      <c r="B529" s="1126"/>
      <c r="C529" s="1126"/>
      <c r="D529" s="1126"/>
      <c r="E529" s="1126"/>
      <c r="F529" s="1126"/>
      <c r="G529" s="1126"/>
      <c r="H529" s="1126"/>
      <c r="I529" s="1126"/>
      <c r="J529" s="1126"/>
      <c r="K529" s="1126"/>
      <c r="L529" s="1126"/>
      <c r="M529" s="1126"/>
      <c r="N529" s="1126"/>
      <c r="O529" s="1126"/>
      <c r="P529" s="1126"/>
      <c r="Q529" s="1126"/>
      <c r="R529" s="1126"/>
      <c r="S529" s="1126"/>
      <c r="T529" s="1126"/>
      <c r="U529" s="1126"/>
      <c r="V529" s="1126"/>
      <c r="W529" s="1126"/>
      <c r="X529" s="1126"/>
      <c r="Y529" s="1126"/>
      <c r="Z529" s="1126"/>
      <c r="AA529" s="1126"/>
    </row>
    <row r="530" ht="15.75" customHeight="1">
      <c r="A530" s="1126"/>
      <c r="B530" s="1126"/>
      <c r="C530" s="1126"/>
      <c r="D530" s="1126"/>
      <c r="E530" s="1126"/>
      <c r="F530" s="1126"/>
      <c r="G530" s="1126"/>
      <c r="H530" s="1126"/>
      <c r="I530" s="1126"/>
      <c r="J530" s="1126"/>
      <c r="K530" s="1126"/>
      <c r="L530" s="1126"/>
      <c r="M530" s="1126"/>
      <c r="N530" s="1126"/>
      <c r="O530" s="1126"/>
      <c r="P530" s="1126"/>
      <c r="Q530" s="1126"/>
      <c r="R530" s="1126"/>
      <c r="S530" s="1126"/>
      <c r="T530" s="1126"/>
      <c r="U530" s="1126"/>
      <c r="V530" s="1126"/>
      <c r="W530" s="1126"/>
      <c r="X530" s="1126"/>
      <c r="Y530" s="1126"/>
      <c r="Z530" s="1126"/>
      <c r="AA530" s="1126"/>
    </row>
    <row r="531" ht="15.75" customHeight="1">
      <c r="A531" s="1126"/>
      <c r="B531" s="1126"/>
      <c r="C531" s="1126"/>
      <c r="D531" s="1126"/>
      <c r="E531" s="1126"/>
      <c r="F531" s="1126"/>
      <c r="G531" s="1126"/>
      <c r="H531" s="1126"/>
      <c r="I531" s="1126"/>
      <c r="J531" s="1126"/>
      <c r="K531" s="1126"/>
      <c r="L531" s="1126"/>
      <c r="M531" s="1126"/>
      <c r="N531" s="1126"/>
      <c r="O531" s="1126"/>
      <c r="P531" s="1126"/>
      <c r="Q531" s="1126"/>
      <c r="R531" s="1126"/>
      <c r="S531" s="1126"/>
      <c r="T531" s="1126"/>
      <c r="U531" s="1126"/>
      <c r="V531" s="1126"/>
      <c r="W531" s="1126"/>
      <c r="X531" s="1126"/>
      <c r="Y531" s="1126"/>
      <c r="Z531" s="1126"/>
      <c r="AA531" s="1126"/>
    </row>
    <row r="532" ht="15.75" customHeight="1">
      <c r="A532" s="1126"/>
      <c r="B532" s="1126"/>
      <c r="C532" s="1126"/>
      <c r="D532" s="1126"/>
      <c r="E532" s="1126"/>
      <c r="F532" s="1126"/>
      <c r="G532" s="1126"/>
      <c r="H532" s="1126"/>
      <c r="I532" s="1126"/>
      <c r="J532" s="1126"/>
      <c r="K532" s="1126"/>
      <c r="L532" s="1126"/>
      <c r="M532" s="1126"/>
      <c r="N532" s="1126"/>
      <c r="O532" s="1126"/>
      <c r="P532" s="1126"/>
      <c r="Q532" s="1126"/>
      <c r="R532" s="1126"/>
      <c r="S532" s="1126"/>
      <c r="T532" s="1126"/>
      <c r="U532" s="1126"/>
      <c r="V532" s="1126"/>
      <c r="W532" s="1126"/>
      <c r="X532" s="1126"/>
      <c r="Y532" s="1126"/>
      <c r="Z532" s="1126"/>
      <c r="AA532" s="1126"/>
    </row>
    <row r="533" ht="15.75" customHeight="1">
      <c r="A533" s="1126"/>
      <c r="B533" s="1126"/>
      <c r="C533" s="1126"/>
      <c r="D533" s="1126"/>
      <c r="E533" s="1126"/>
      <c r="F533" s="1126"/>
      <c r="G533" s="1126"/>
      <c r="H533" s="1126"/>
      <c r="I533" s="1126"/>
      <c r="J533" s="1126"/>
      <c r="K533" s="1126"/>
      <c r="L533" s="1126"/>
      <c r="M533" s="1126"/>
      <c r="N533" s="1126"/>
      <c r="O533" s="1126"/>
      <c r="P533" s="1126"/>
      <c r="Q533" s="1126"/>
      <c r="R533" s="1126"/>
      <c r="S533" s="1126"/>
      <c r="T533" s="1126"/>
      <c r="U533" s="1126"/>
      <c r="V533" s="1126"/>
      <c r="W533" s="1126"/>
      <c r="X533" s="1126"/>
      <c r="Y533" s="1126"/>
      <c r="Z533" s="1126"/>
      <c r="AA533" s="1126"/>
    </row>
    <row r="534" ht="15.75" customHeight="1">
      <c r="A534" s="1126"/>
      <c r="B534" s="1126"/>
      <c r="C534" s="1126"/>
      <c r="D534" s="1126"/>
      <c r="E534" s="1126"/>
      <c r="F534" s="1126"/>
      <c r="G534" s="1126"/>
      <c r="H534" s="1126"/>
      <c r="I534" s="1126"/>
      <c r="J534" s="1126"/>
      <c r="K534" s="1126"/>
      <c r="L534" s="1126"/>
      <c r="M534" s="1126"/>
      <c r="N534" s="1126"/>
      <c r="O534" s="1126"/>
      <c r="P534" s="1126"/>
      <c r="Q534" s="1126"/>
      <c r="R534" s="1126"/>
      <c r="S534" s="1126"/>
      <c r="T534" s="1126"/>
      <c r="U534" s="1126"/>
      <c r="V534" s="1126"/>
      <c r="W534" s="1126"/>
      <c r="X534" s="1126"/>
      <c r="Y534" s="1126"/>
      <c r="Z534" s="1126"/>
      <c r="AA534" s="1126"/>
    </row>
    <row r="535" ht="15.75" customHeight="1">
      <c r="A535" s="1126"/>
      <c r="B535" s="1126"/>
      <c r="C535" s="1126"/>
      <c r="D535" s="1126"/>
      <c r="E535" s="1126"/>
      <c r="F535" s="1126"/>
      <c r="G535" s="1126"/>
      <c r="H535" s="1126"/>
      <c r="I535" s="1126"/>
      <c r="J535" s="1126"/>
      <c r="K535" s="1126"/>
      <c r="L535" s="1126"/>
      <c r="M535" s="1126"/>
      <c r="N535" s="1126"/>
      <c r="O535" s="1126"/>
      <c r="P535" s="1126"/>
      <c r="Q535" s="1126"/>
      <c r="R535" s="1126"/>
      <c r="S535" s="1126"/>
      <c r="T535" s="1126"/>
      <c r="U535" s="1126"/>
      <c r="V535" s="1126"/>
      <c r="W535" s="1126"/>
      <c r="X535" s="1126"/>
      <c r="Y535" s="1126"/>
      <c r="Z535" s="1126"/>
      <c r="AA535" s="1126"/>
    </row>
    <row r="536" ht="15.75" customHeight="1">
      <c r="A536" s="1126"/>
      <c r="B536" s="1126"/>
      <c r="C536" s="1126"/>
      <c r="D536" s="1126"/>
      <c r="E536" s="1126"/>
      <c r="F536" s="1126"/>
      <c r="G536" s="1126"/>
      <c r="H536" s="1126"/>
      <c r="I536" s="1126"/>
      <c r="J536" s="1126"/>
      <c r="K536" s="1126"/>
      <c r="L536" s="1126"/>
      <c r="M536" s="1126"/>
      <c r="N536" s="1126"/>
      <c r="O536" s="1126"/>
      <c r="P536" s="1126"/>
      <c r="Q536" s="1126"/>
      <c r="R536" s="1126"/>
      <c r="S536" s="1126"/>
      <c r="T536" s="1126"/>
      <c r="U536" s="1126"/>
      <c r="V536" s="1126"/>
      <c r="W536" s="1126"/>
      <c r="X536" s="1126"/>
      <c r="Y536" s="1126"/>
      <c r="Z536" s="1126"/>
      <c r="AA536" s="1126"/>
    </row>
    <row r="537" ht="15.75" customHeight="1">
      <c r="A537" s="1126"/>
      <c r="B537" s="1126"/>
      <c r="C537" s="1126"/>
      <c r="D537" s="1126"/>
      <c r="E537" s="1126"/>
      <c r="F537" s="1126"/>
      <c r="G537" s="1126"/>
      <c r="H537" s="1126"/>
      <c r="I537" s="1126"/>
      <c r="J537" s="1126"/>
      <c r="K537" s="1126"/>
      <c r="L537" s="1126"/>
      <c r="M537" s="1126"/>
      <c r="N537" s="1126"/>
      <c r="O537" s="1126"/>
      <c r="P537" s="1126"/>
      <c r="Q537" s="1126"/>
      <c r="R537" s="1126"/>
      <c r="S537" s="1126"/>
      <c r="T537" s="1126"/>
      <c r="U537" s="1126"/>
      <c r="V537" s="1126"/>
      <c r="W537" s="1126"/>
      <c r="X537" s="1126"/>
      <c r="Y537" s="1126"/>
      <c r="Z537" s="1126"/>
      <c r="AA537" s="1126"/>
    </row>
    <row r="538" ht="15.75" customHeight="1">
      <c r="A538" s="1126"/>
      <c r="B538" s="1126"/>
      <c r="C538" s="1126"/>
      <c r="D538" s="1126"/>
      <c r="E538" s="1126"/>
      <c r="F538" s="1126"/>
      <c r="G538" s="1126"/>
      <c r="H538" s="1126"/>
      <c r="I538" s="1126"/>
      <c r="J538" s="1126"/>
      <c r="K538" s="1126"/>
      <c r="L538" s="1126"/>
      <c r="M538" s="1126"/>
      <c r="N538" s="1126"/>
      <c r="O538" s="1126"/>
      <c r="P538" s="1126"/>
      <c r="Q538" s="1126"/>
      <c r="R538" s="1126"/>
      <c r="S538" s="1126"/>
      <c r="T538" s="1126"/>
      <c r="U538" s="1126"/>
      <c r="V538" s="1126"/>
      <c r="W538" s="1126"/>
      <c r="X538" s="1126"/>
      <c r="Y538" s="1126"/>
      <c r="Z538" s="1126"/>
      <c r="AA538" s="1126"/>
    </row>
    <row r="539" ht="15.75" customHeight="1">
      <c r="A539" s="1126"/>
      <c r="B539" s="1126"/>
      <c r="C539" s="1126"/>
      <c r="D539" s="1126"/>
      <c r="E539" s="1126"/>
      <c r="F539" s="1126"/>
      <c r="G539" s="1126"/>
      <c r="H539" s="1126"/>
      <c r="I539" s="1126"/>
      <c r="J539" s="1126"/>
      <c r="K539" s="1126"/>
      <c r="L539" s="1126"/>
      <c r="M539" s="1126"/>
      <c r="N539" s="1126"/>
      <c r="O539" s="1126"/>
      <c r="P539" s="1126"/>
      <c r="Q539" s="1126"/>
      <c r="R539" s="1126"/>
      <c r="S539" s="1126"/>
      <c r="T539" s="1126"/>
      <c r="U539" s="1126"/>
      <c r="V539" s="1126"/>
      <c r="W539" s="1126"/>
      <c r="X539" s="1126"/>
      <c r="Y539" s="1126"/>
      <c r="Z539" s="1126"/>
      <c r="AA539" s="1126"/>
    </row>
    <row r="540" ht="15.75" customHeight="1">
      <c r="A540" s="1126"/>
      <c r="B540" s="1126"/>
      <c r="C540" s="1126"/>
      <c r="D540" s="1126"/>
      <c r="E540" s="1126"/>
      <c r="F540" s="1126"/>
      <c r="G540" s="1126"/>
      <c r="H540" s="1126"/>
      <c r="I540" s="1126"/>
      <c r="J540" s="1126"/>
      <c r="K540" s="1126"/>
      <c r="L540" s="1126"/>
      <c r="M540" s="1126"/>
      <c r="N540" s="1126"/>
      <c r="O540" s="1126"/>
      <c r="P540" s="1126"/>
      <c r="Q540" s="1126"/>
      <c r="R540" s="1126"/>
      <c r="S540" s="1126"/>
      <c r="T540" s="1126"/>
      <c r="U540" s="1126"/>
      <c r="V540" s="1126"/>
      <c r="W540" s="1126"/>
      <c r="X540" s="1126"/>
      <c r="Y540" s="1126"/>
      <c r="Z540" s="1126"/>
      <c r="AA540" s="1126"/>
    </row>
    <row r="541" ht="15.75" customHeight="1">
      <c r="A541" s="1126"/>
      <c r="B541" s="1126"/>
      <c r="C541" s="1126"/>
      <c r="D541" s="1126"/>
      <c r="E541" s="1126"/>
      <c r="F541" s="1126"/>
      <c r="G541" s="1126"/>
      <c r="H541" s="1126"/>
      <c r="I541" s="1126"/>
      <c r="J541" s="1126"/>
      <c r="K541" s="1126"/>
      <c r="L541" s="1126"/>
      <c r="M541" s="1126"/>
      <c r="N541" s="1126"/>
      <c r="O541" s="1126"/>
      <c r="P541" s="1126"/>
      <c r="Q541" s="1126"/>
      <c r="R541" s="1126"/>
      <c r="S541" s="1126"/>
      <c r="T541" s="1126"/>
      <c r="U541" s="1126"/>
      <c r="V541" s="1126"/>
      <c r="W541" s="1126"/>
      <c r="X541" s="1126"/>
      <c r="Y541" s="1126"/>
      <c r="Z541" s="1126"/>
      <c r="AA541" s="1126"/>
    </row>
    <row r="542" ht="15.75" customHeight="1">
      <c r="A542" s="1126"/>
      <c r="B542" s="1126"/>
      <c r="C542" s="1126"/>
      <c r="D542" s="1126"/>
      <c r="E542" s="1126"/>
      <c r="F542" s="1126"/>
      <c r="G542" s="1126"/>
      <c r="H542" s="1126"/>
      <c r="I542" s="1126"/>
      <c r="J542" s="1126"/>
      <c r="K542" s="1126"/>
      <c r="L542" s="1126"/>
      <c r="M542" s="1126"/>
      <c r="N542" s="1126"/>
      <c r="O542" s="1126"/>
      <c r="P542" s="1126"/>
      <c r="Q542" s="1126"/>
      <c r="R542" s="1126"/>
      <c r="S542" s="1126"/>
      <c r="T542" s="1126"/>
      <c r="U542" s="1126"/>
      <c r="V542" s="1126"/>
      <c r="W542" s="1126"/>
      <c r="X542" s="1126"/>
      <c r="Y542" s="1126"/>
      <c r="Z542" s="1126"/>
      <c r="AA542" s="1126"/>
    </row>
    <row r="543" ht="15.75" customHeight="1">
      <c r="A543" s="1126"/>
      <c r="B543" s="1126"/>
      <c r="C543" s="1126"/>
      <c r="D543" s="1126"/>
      <c r="E543" s="1126"/>
      <c r="F543" s="1126"/>
      <c r="G543" s="1126"/>
      <c r="H543" s="1126"/>
      <c r="I543" s="1126"/>
      <c r="J543" s="1126"/>
      <c r="K543" s="1126"/>
      <c r="L543" s="1126"/>
      <c r="M543" s="1126"/>
      <c r="N543" s="1126"/>
      <c r="O543" s="1126"/>
      <c r="P543" s="1126"/>
      <c r="Q543" s="1126"/>
      <c r="R543" s="1126"/>
      <c r="S543" s="1126"/>
      <c r="T543" s="1126"/>
      <c r="U543" s="1126"/>
      <c r="V543" s="1126"/>
      <c r="W543" s="1126"/>
      <c r="X543" s="1126"/>
      <c r="Y543" s="1126"/>
      <c r="Z543" s="1126"/>
      <c r="AA543" s="1126"/>
    </row>
    <row r="544" ht="15.75" customHeight="1">
      <c r="A544" s="1126"/>
      <c r="B544" s="1126"/>
      <c r="C544" s="1126"/>
      <c r="D544" s="1126"/>
      <c r="E544" s="1126"/>
      <c r="F544" s="1126"/>
      <c r="G544" s="1126"/>
      <c r="H544" s="1126"/>
      <c r="I544" s="1126"/>
      <c r="J544" s="1126"/>
      <c r="K544" s="1126"/>
      <c r="L544" s="1126"/>
      <c r="M544" s="1126"/>
      <c r="N544" s="1126"/>
      <c r="O544" s="1126"/>
      <c r="P544" s="1126"/>
      <c r="Q544" s="1126"/>
      <c r="R544" s="1126"/>
      <c r="S544" s="1126"/>
      <c r="T544" s="1126"/>
      <c r="U544" s="1126"/>
      <c r="V544" s="1126"/>
      <c r="W544" s="1126"/>
      <c r="X544" s="1126"/>
      <c r="Y544" s="1126"/>
      <c r="Z544" s="1126"/>
      <c r="AA544" s="1126"/>
    </row>
    <row r="545" ht="15.75" customHeight="1">
      <c r="A545" s="1126"/>
      <c r="B545" s="1126"/>
      <c r="C545" s="1126"/>
      <c r="D545" s="1126"/>
      <c r="E545" s="1126"/>
      <c r="F545" s="1126"/>
      <c r="G545" s="1126"/>
      <c r="H545" s="1126"/>
      <c r="I545" s="1126"/>
      <c r="J545" s="1126"/>
      <c r="K545" s="1126"/>
      <c r="L545" s="1126"/>
      <c r="M545" s="1126"/>
      <c r="N545" s="1126"/>
      <c r="O545" s="1126"/>
      <c r="P545" s="1126"/>
      <c r="Q545" s="1126"/>
      <c r="R545" s="1126"/>
      <c r="S545" s="1126"/>
      <c r="T545" s="1126"/>
      <c r="U545" s="1126"/>
      <c r="V545" s="1126"/>
      <c r="W545" s="1126"/>
      <c r="X545" s="1126"/>
      <c r="Y545" s="1126"/>
      <c r="Z545" s="1126"/>
      <c r="AA545" s="1126"/>
    </row>
    <row r="546" ht="15.75" customHeight="1">
      <c r="A546" s="1126"/>
      <c r="B546" s="1126"/>
      <c r="C546" s="1126"/>
      <c r="D546" s="1126"/>
      <c r="E546" s="1126"/>
      <c r="F546" s="1126"/>
      <c r="G546" s="1126"/>
      <c r="H546" s="1126"/>
      <c r="I546" s="1126"/>
      <c r="J546" s="1126"/>
      <c r="K546" s="1126"/>
      <c r="L546" s="1126"/>
      <c r="M546" s="1126"/>
      <c r="N546" s="1126"/>
      <c r="O546" s="1126"/>
      <c r="P546" s="1126"/>
      <c r="Q546" s="1126"/>
      <c r="R546" s="1126"/>
      <c r="S546" s="1126"/>
      <c r="T546" s="1126"/>
      <c r="U546" s="1126"/>
      <c r="V546" s="1126"/>
      <c r="W546" s="1126"/>
      <c r="X546" s="1126"/>
      <c r="Y546" s="1126"/>
      <c r="Z546" s="1126"/>
      <c r="AA546" s="1126"/>
    </row>
    <row r="547" ht="15.75" customHeight="1">
      <c r="A547" s="1126"/>
      <c r="B547" s="1126"/>
      <c r="C547" s="1126"/>
      <c r="D547" s="1126"/>
      <c r="E547" s="1126"/>
      <c r="F547" s="1126"/>
      <c r="G547" s="1126"/>
      <c r="H547" s="1126"/>
      <c r="I547" s="1126"/>
      <c r="J547" s="1126"/>
      <c r="K547" s="1126"/>
      <c r="L547" s="1126"/>
      <c r="M547" s="1126"/>
      <c r="N547" s="1126"/>
      <c r="O547" s="1126"/>
      <c r="P547" s="1126"/>
      <c r="Q547" s="1126"/>
      <c r="R547" s="1126"/>
      <c r="S547" s="1126"/>
      <c r="T547" s="1126"/>
      <c r="U547" s="1126"/>
      <c r="V547" s="1126"/>
      <c r="W547" s="1126"/>
      <c r="X547" s="1126"/>
      <c r="Y547" s="1126"/>
      <c r="Z547" s="1126"/>
      <c r="AA547" s="1126"/>
    </row>
    <row r="548" ht="15.75" customHeight="1">
      <c r="A548" s="1126"/>
      <c r="B548" s="1126"/>
      <c r="C548" s="1126"/>
      <c r="D548" s="1126"/>
      <c r="E548" s="1126"/>
      <c r="F548" s="1126"/>
      <c r="G548" s="1126"/>
      <c r="H548" s="1126"/>
      <c r="I548" s="1126"/>
      <c r="J548" s="1126"/>
      <c r="K548" s="1126"/>
      <c r="L548" s="1126"/>
      <c r="M548" s="1126"/>
      <c r="N548" s="1126"/>
      <c r="O548" s="1126"/>
      <c r="P548" s="1126"/>
      <c r="Q548" s="1126"/>
      <c r="R548" s="1126"/>
      <c r="S548" s="1126"/>
      <c r="T548" s="1126"/>
      <c r="U548" s="1126"/>
      <c r="V548" s="1126"/>
      <c r="W548" s="1126"/>
      <c r="X548" s="1126"/>
      <c r="Y548" s="1126"/>
      <c r="Z548" s="1126"/>
      <c r="AA548" s="1126"/>
    </row>
    <row r="549" ht="15.75" customHeight="1">
      <c r="A549" s="1126"/>
      <c r="B549" s="1126"/>
      <c r="C549" s="1126"/>
      <c r="D549" s="1126"/>
      <c r="E549" s="1126"/>
      <c r="F549" s="1126"/>
      <c r="G549" s="1126"/>
      <c r="H549" s="1126"/>
      <c r="I549" s="1126"/>
      <c r="J549" s="1126"/>
      <c r="K549" s="1126"/>
      <c r="L549" s="1126"/>
      <c r="M549" s="1126"/>
      <c r="N549" s="1126"/>
      <c r="O549" s="1126"/>
      <c r="P549" s="1126"/>
      <c r="Q549" s="1126"/>
      <c r="R549" s="1126"/>
      <c r="S549" s="1126"/>
      <c r="T549" s="1126"/>
      <c r="U549" s="1126"/>
      <c r="V549" s="1126"/>
      <c r="W549" s="1126"/>
      <c r="X549" s="1126"/>
      <c r="Y549" s="1126"/>
      <c r="Z549" s="1126"/>
      <c r="AA549" s="1126"/>
    </row>
    <row r="550" ht="15.75" customHeight="1">
      <c r="A550" s="1126"/>
      <c r="B550" s="1126"/>
      <c r="C550" s="1126"/>
      <c r="D550" s="1126"/>
      <c r="E550" s="1126"/>
      <c r="F550" s="1126"/>
      <c r="G550" s="1126"/>
      <c r="H550" s="1126"/>
      <c r="I550" s="1126"/>
      <c r="J550" s="1126"/>
      <c r="K550" s="1126"/>
      <c r="L550" s="1126"/>
      <c r="M550" s="1126"/>
      <c r="N550" s="1126"/>
      <c r="O550" s="1126"/>
      <c r="P550" s="1126"/>
      <c r="Q550" s="1126"/>
      <c r="R550" s="1126"/>
      <c r="S550" s="1126"/>
      <c r="T550" s="1126"/>
      <c r="U550" s="1126"/>
      <c r="V550" s="1126"/>
      <c r="W550" s="1126"/>
      <c r="X550" s="1126"/>
      <c r="Y550" s="1126"/>
      <c r="Z550" s="1126"/>
      <c r="AA550" s="1126"/>
    </row>
    <row r="551" ht="15.75" customHeight="1">
      <c r="A551" s="1126"/>
      <c r="B551" s="1126"/>
      <c r="C551" s="1126"/>
      <c r="D551" s="1126"/>
      <c r="E551" s="1126"/>
      <c r="F551" s="1126"/>
      <c r="G551" s="1126"/>
      <c r="H551" s="1126"/>
      <c r="I551" s="1126"/>
      <c r="J551" s="1126"/>
      <c r="K551" s="1126"/>
      <c r="L551" s="1126"/>
      <c r="M551" s="1126"/>
      <c r="N551" s="1126"/>
      <c r="O551" s="1126"/>
      <c r="P551" s="1126"/>
      <c r="Q551" s="1126"/>
      <c r="R551" s="1126"/>
      <c r="S551" s="1126"/>
      <c r="T551" s="1126"/>
      <c r="U551" s="1126"/>
      <c r="V551" s="1126"/>
      <c r="W551" s="1126"/>
      <c r="X551" s="1126"/>
      <c r="Y551" s="1126"/>
      <c r="Z551" s="1126"/>
      <c r="AA551" s="1126"/>
    </row>
    <row r="552" ht="15.75" customHeight="1">
      <c r="A552" s="1126"/>
      <c r="B552" s="1126"/>
      <c r="C552" s="1126"/>
      <c r="D552" s="1126"/>
      <c r="E552" s="1126"/>
      <c r="F552" s="1126"/>
      <c r="G552" s="1126"/>
      <c r="H552" s="1126"/>
      <c r="I552" s="1126"/>
      <c r="J552" s="1126"/>
      <c r="K552" s="1126"/>
      <c r="L552" s="1126"/>
      <c r="M552" s="1126"/>
      <c r="N552" s="1126"/>
      <c r="O552" s="1126"/>
      <c r="P552" s="1126"/>
      <c r="Q552" s="1126"/>
      <c r="R552" s="1126"/>
      <c r="S552" s="1126"/>
      <c r="T552" s="1126"/>
      <c r="U552" s="1126"/>
      <c r="V552" s="1126"/>
      <c r="W552" s="1126"/>
      <c r="X552" s="1126"/>
      <c r="Y552" s="1126"/>
      <c r="Z552" s="1126"/>
      <c r="AA552" s="1126"/>
    </row>
    <row r="553" ht="15.75" customHeight="1">
      <c r="A553" s="1126"/>
      <c r="B553" s="1126"/>
      <c r="C553" s="1126"/>
      <c r="D553" s="1126"/>
      <c r="E553" s="1126"/>
      <c r="F553" s="1126"/>
      <c r="G553" s="1126"/>
      <c r="H553" s="1126"/>
      <c r="I553" s="1126"/>
      <c r="J553" s="1126"/>
      <c r="K553" s="1126"/>
      <c r="L553" s="1126"/>
      <c r="M553" s="1126"/>
      <c r="N553" s="1126"/>
      <c r="O553" s="1126"/>
      <c r="P553" s="1126"/>
      <c r="Q553" s="1126"/>
      <c r="R553" s="1126"/>
      <c r="S553" s="1126"/>
      <c r="T553" s="1126"/>
      <c r="U553" s="1126"/>
      <c r="V553" s="1126"/>
      <c r="W553" s="1126"/>
      <c r="X553" s="1126"/>
      <c r="Y553" s="1126"/>
      <c r="Z553" s="1126"/>
      <c r="AA553" s="1126"/>
    </row>
    <row r="554" ht="15.75" customHeight="1">
      <c r="A554" s="1126"/>
      <c r="B554" s="1126"/>
      <c r="C554" s="1126"/>
      <c r="D554" s="1126"/>
      <c r="E554" s="1126"/>
      <c r="F554" s="1126"/>
      <c r="G554" s="1126"/>
      <c r="H554" s="1126"/>
      <c r="I554" s="1126"/>
      <c r="J554" s="1126"/>
      <c r="K554" s="1126"/>
      <c r="L554" s="1126"/>
      <c r="M554" s="1126"/>
      <c r="N554" s="1126"/>
      <c r="O554" s="1126"/>
      <c r="P554" s="1126"/>
      <c r="Q554" s="1126"/>
      <c r="R554" s="1126"/>
      <c r="S554" s="1126"/>
      <c r="T554" s="1126"/>
      <c r="U554" s="1126"/>
      <c r="V554" s="1126"/>
      <c r="W554" s="1126"/>
      <c r="X554" s="1126"/>
      <c r="Y554" s="1126"/>
      <c r="Z554" s="1126"/>
      <c r="AA554" s="1126"/>
    </row>
    <row r="555" ht="15.75" customHeight="1">
      <c r="A555" s="1126"/>
      <c r="B555" s="1126"/>
      <c r="C555" s="1126"/>
      <c r="D555" s="1126"/>
      <c r="E555" s="1126"/>
      <c r="F555" s="1126"/>
      <c r="G555" s="1126"/>
      <c r="H555" s="1126"/>
      <c r="I555" s="1126"/>
      <c r="J555" s="1126"/>
      <c r="K555" s="1126"/>
      <c r="L555" s="1126"/>
      <c r="M555" s="1126"/>
      <c r="N555" s="1126"/>
      <c r="O555" s="1126"/>
      <c r="P555" s="1126"/>
      <c r="Q555" s="1126"/>
      <c r="R555" s="1126"/>
      <c r="S555" s="1126"/>
      <c r="T555" s="1126"/>
      <c r="U555" s="1126"/>
      <c r="V555" s="1126"/>
      <c r="W555" s="1126"/>
      <c r="X555" s="1126"/>
      <c r="Y555" s="1126"/>
      <c r="Z555" s="1126"/>
      <c r="AA555" s="1126"/>
    </row>
    <row r="556" ht="15.75" customHeight="1">
      <c r="A556" s="1126"/>
      <c r="B556" s="1126"/>
      <c r="C556" s="1126"/>
      <c r="D556" s="1126"/>
      <c r="E556" s="1126"/>
      <c r="F556" s="1126"/>
      <c r="G556" s="1126"/>
      <c r="H556" s="1126"/>
      <c r="I556" s="1126"/>
      <c r="J556" s="1126"/>
      <c r="K556" s="1126"/>
      <c r="L556" s="1126"/>
      <c r="M556" s="1126"/>
      <c r="N556" s="1126"/>
      <c r="O556" s="1126"/>
      <c r="P556" s="1126"/>
      <c r="Q556" s="1126"/>
      <c r="R556" s="1126"/>
      <c r="S556" s="1126"/>
      <c r="T556" s="1126"/>
      <c r="U556" s="1126"/>
      <c r="V556" s="1126"/>
      <c r="W556" s="1126"/>
      <c r="X556" s="1126"/>
      <c r="Y556" s="1126"/>
      <c r="Z556" s="1126"/>
      <c r="AA556" s="1126"/>
    </row>
    <row r="557" ht="15.75" customHeight="1">
      <c r="A557" s="1126"/>
      <c r="B557" s="1126"/>
      <c r="C557" s="1126"/>
      <c r="D557" s="1126"/>
      <c r="E557" s="1126"/>
      <c r="F557" s="1126"/>
      <c r="G557" s="1126"/>
      <c r="H557" s="1126"/>
      <c r="I557" s="1126"/>
      <c r="J557" s="1126"/>
      <c r="K557" s="1126"/>
      <c r="L557" s="1126"/>
      <c r="M557" s="1126"/>
      <c r="N557" s="1126"/>
      <c r="O557" s="1126"/>
      <c r="P557" s="1126"/>
      <c r="Q557" s="1126"/>
      <c r="R557" s="1126"/>
      <c r="S557" s="1126"/>
      <c r="T557" s="1126"/>
      <c r="U557" s="1126"/>
      <c r="V557" s="1126"/>
      <c r="W557" s="1126"/>
      <c r="X557" s="1126"/>
      <c r="Y557" s="1126"/>
      <c r="Z557" s="1126"/>
      <c r="AA557" s="1126"/>
    </row>
    <row r="558" ht="15.75" customHeight="1">
      <c r="A558" s="1126"/>
      <c r="B558" s="1126"/>
      <c r="C558" s="1126"/>
      <c r="D558" s="1126"/>
      <c r="E558" s="1126"/>
      <c r="F558" s="1126"/>
      <c r="G558" s="1126"/>
      <c r="H558" s="1126"/>
      <c r="I558" s="1126"/>
      <c r="J558" s="1126"/>
      <c r="K558" s="1126"/>
      <c r="L558" s="1126"/>
      <c r="M558" s="1126"/>
      <c r="N558" s="1126"/>
      <c r="O558" s="1126"/>
      <c r="P558" s="1126"/>
      <c r="Q558" s="1126"/>
      <c r="R558" s="1126"/>
      <c r="S558" s="1126"/>
      <c r="T558" s="1126"/>
      <c r="U558" s="1126"/>
      <c r="V558" s="1126"/>
      <c r="W558" s="1126"/>
      <c r="X558" s="1126"/>
      <c r="Y558" s="1126"/>
      <c r="Z558" s="1126"/>
      <c r="AA558" s="1126"/>
    </row>
    <row r="559" ht="15.75" customHeight="1">
      <c r="A559" s="1126"/>
      <c r="B559" s="1126"/>
      <c r="C559" s="1126"/>
      <c r="D559" s="1126"/>
      <c r="E559" s="1126"/>
      <c r="F559" s="1126"/>
      <c r="G559" s="1126"/>
      <c r="H559" s="1126"/>
      <c r="I559" s="1126"/>
      <c r="J559" s="1126"/>
      <c r="K559" s="1126"/>
      <c r="L559" s="1126"/>
      <c r="M559" s="1126"/>
      <c r="N559" s="1126"/>
      <c r="O559" s="1126"/>
      <c r="P559" s="1126"/>
      <c r="Q559" s="1126"/>
      <c r="R559" s="1126"/>
      <c r="S559" s="1126"/>
      <c r="T559" s="1126"/>
      <c r="U559" s="1126"/>
      <c r="V559" s="1126"/>
      <c r="W559" s="1126"/>
      <c r="X559" s="1126"/>
      <c r="Y559" s="1126"/>
      <c r="Z559" s="1126"/>
      <c r="AA559" s="1126"/>
    </row>
    <row r="560" ht="15.75" customHeight="1">
      <c r="A560" s="1126"/>
      <c r="B560" s="1126"/>
      <c r="C560" s="1126"/>
      <c r="D560" s="1126"/>
      <c r="E560" s="1126"/>
      <c r="F560" s="1126"/>
      <c r="G560" s="1126"/>
      <c r="H560" s="1126"/>
      <c r="I560" s="1126"/>
      <c r="J560" s="1126"/>
      <c r="K560" s="1126"/>
      <c r="L560" s="1126"/>
      <c r="M560" s="1126"/>
      <c r="N560" s="1126"/>
      <c r="O560" s="1126"/>
      <c r="P560" s="1126"/>
      <c r="Q560" s="1126"/>
      <c r="R560" s="1126"/>
      <c r="S560" s="1126"/>
      <c r="T560" s="1126"/>
      <c r="U560" s="1126"/>
      <c r="V560" s="1126"/>
      <c r="W560" s="1126"/>
      <c r="X560" s="1126"/>
      <c r="Y560" s="1126"/>
      <c r="Z560" s="1126"/>
      <c r="AA560" s="1126"/>
    </row>
    <row r="561" ht="15.75" customHeight="1">
      <c r="A561" s="1126"/>
      <c r="B561" s="1126"/>
      <c r="C561" s="1126"/>
      <c r="D561" s="1126"/>
      <c r="E561" s="1126"/>
      <c r="F561" s="1126"/>
      <c r="G561" s="1126"/>
      <c r="H561" s="1126"/>
      <c r="I561" s="1126"/>
      <c r="J561" s="1126"/>
      <c r="K561" s="1126"/>
      <c r="L561" s="1126"/>
      <c r="M561" s="1126"/>
      <c r="N561" s="1126"/>
      <c r="O561" s="1126"/>
      <c r="P561" s="1126"/>
      <c r="Q561" s="1126"/>
      <c r="R561" s="1126"/>
      <c r="S561" s="1126"/>
      <c r="T561" s="1126"/>
      <c r="U561" s="1126"/>
      <c r="V561" s="1126"/>
      <c r="W561" s="1126"/>
      <c r="X561" s="1126"/>
      <c r="Y561" s="1126"/>
      <c r="Z561" s="1126"/>
      <c r="AA561" s="1126"/>
    </row>
    <row r="562" ht="15.75" customHeight="1">
      <c r="A562" s="1126"/>
      <c r="B562" s="1126"/>
      <c r="C562" s="1126"/>
      <c r="D562" s="1126"/>
      <c r="E562" s="1126"/>
      <c r="F562" s="1126"/>
      <c r="G562" s="1126"/>
      <c r="H562" s="1126"/>
      <c r="I562" s="1126"/>
      <c r="J562" s="1126"/>
      <c r="K562" s="1126"/>
      <c r="L562" s="1126"/>
      <c r="M562" s="1126"/>
      <c r="N562" s="1126"/>
      <c r="O562" s="1126"/>
      <c r="P562" s="1126"/>
      <c r="Q562" s="1126"/>
      <c r="R562" s="1126"/>
      <c r="S562" s="1126"/>
      <c r="T562" s="1126"/>
      <c r="U562" s="1126"/>
      <c r="V562" s="1126"/>
      <c r="W562" s="1126"/>
      <c r="X562" s="1126"/>
      <c r="Y562" s="1126"/>
      <c r="Z562" s="1126"/>
      <c r="AA562" s="1126"/>
    </row>
    <row r="563" ht="15.75" customHeight="1">
      <c r="A563" s="1126"/>
      <c r="B563" s="1126"/>
      <c r="C563" s="1126"/>
      <c r="D563" s="1126"/>
      <c r="E563" s="1126"/>
      <c r="F563" s="1126"/>
      <c r="G563" s="1126"/>
      <c r="H563" s="1126"/>
      <c r="I563" s="1126"/>
      <c r="J563" s="1126"/>
      <c r="K563" s="1126"/>
      <c r="L563" s="1126"/>
      <c r="M563" s="1126"/>
      <c r="N563" s="1126"/>
      <c r="O563" s="1126"/>
      <c r="P563" s="1126"/>
      <c r="Q563" s="1126"/>
      <c r="R563" s="1126"/>
      <c r="S563" s="1126"/>
      <c r="T563" s="1126"/>
      <c r="U563" s="1126"/>
      <c r="V563" s="1126"/>
      <c r="W563" s="1126"/>
      <c r="X563" s="1126"/>
      <c r="Y563" s="1126"/>
      <c r="Z563" s="1126"/>
      <c r="AA563" s="1126"/>
    </row>
    <row r="564" ht="15.75" customHeight="1">
      <c r="A564" s="1126"/>
      <c r="B564" s="1126"/>
      <c r="C564" s="1126"/>
      <c r="D564" s="1126"/>
      <c r="E564" s="1126"/>
      <c r="F564" s="1126"/>
      <c r="G564" s="1126"/>
      <c r="H564" s="1126"/>
      <c r="I564" s="1126"/>
      <c r="J564" s="1126"/>
      <c r="K564" s="1126"/>
      <c r="L564" s="1126"/>
      <c r="M564" s="1126"/>
      <c r="N564" s="1126"/>
      <c r="O564" s="1126"/>
      <c r="P564" s="1126"/>
      <c r="Q564" s="1126"/>
      <c r="R564" s="1126"/>
      <c r="S564" s="1126"/>
      <c r="T564" s="1126"/>
      <c r="U564" s="1126"/>
      <c r="V564" s="1126"/>
      <c r="W564" s="1126"/>
      <c r="X564" s="1126"/>
      <c r="Y564" s="1126"/>
      <c r="Z564" s="1126"/>
      <c r="AA564" s="1126"/>
    </row>
    <row r="565" ht="15.75" customHeight="1">
      <c r="A565" s="1126"/>
      <c r="B565" s="1126"/>
      <c r="C565" s="1126"/>
      <c r="D565" s="1126"/>
      <c r="E565" s="1126"/>
      <c r="F565" s="1126"/>
      <c r="G565" s="1126"/>
      <c r="H565" s="1126"/>
      <c r="I565" s="1126"/>
      <c r="J565" s="1126"/>
      <c r="K565" s="1126"/>
      <c r="L565" s="1126"/>
      <c r="M565" s="1126"/>
      <c r="N565" s="1126"/>
      <c r="O565" s="1126"/>
      <c r="P565" s="1126"/>
      <c r="Q565" s="1126"/>
      <c r="R565" s="1126"/>
      <c r="S565" s="1126"/>
      <c r="T565" s="1126"/>
      <c r="U565" s="1126"/>
      <c r="V565" s="1126"/>
      <c r="W565" s="1126"/>
      <c r="X565" s="1126"/>
      <c r="Y565" s="1126"/>
      <c r="Z565" s="1126"/>
      <c r="AA565" s="1126"/>
    </row>
    <row r="566" ht="15.75" customHeight="1">
      <c r="A566" s="1126"/>
      <c r="B566" s="1126"/>
      <c r="C566" s="1126"/>
      <c r="D566" s="1126"/>
      <c r="E566" s="1126"/>
      <c r="F566" s="1126"/>
      <c r="G566" s="1126"/>
      <c r="H566" s="1126"/>
      <c r="I566" s="1126"/>
      <c r="J566" s="1126"/>
      <c r="K566" s="1126"/>
      <c r="L566" s="1126"/>
      <c r="M566" s="1126"/>
      <c r="N566" s="1126"/>
      <c r="O566" s="1126"/>
      <c r="P566" s="1126"/>
      <c r="Q566" s="1126"/>
      <c r="R566" s="1126"/>
      <c r="S566" s="1126"/>
      <c r="T566" s="1126"/>
      <c r="U566" s="1126"/>
      <c r="V566" s="1126"/>
      <c r="W566" s="1126"/>
      <c r="X566" s="1126"/>
      <c r="Y566" s="1126"/>
      <c r="Z566" s="1126"/>
      <c r="AA566" s="1126"/>
    </row>
    <row r="567" ht="15.75" customHeight="1">
      <c r="A567" s="1126"/>
      <c r="B567" s="1126"/>
      <c r="C567" s="1126"/>
      <c r="D567" s="1126"/>
      <c r="E567" s="1126"/>
      <c r="F567" s="1126"/>
      <c r="G567" s="1126"/>
      <c r="H567" s="1126"/>
      <c r="I567" s="1126"/>
      <c r="J567" s="1126"/>
      <c r="K567" s="1126"/>
      <c r="L567" s="1126"/>
      <c r="M567" s="1126"/>
      <c r="N567" s="1126"/>
      <c r="O567" s="1126"/>
      <c r="P567" s="1126"/>
      <c r="Q567" s="1126"/>
      <c r="R567" s="1126"/>
      <c r="S567" s="1126"/>
      <c r="T567" s="1126"/>
      <c r="U567" s="1126"/>
      <c r="V567" s="1126"/>
      <c r="W567" s="1126"/>
      <c r="X567" s="1126"/>
      <c r="Y567" s="1126"/>
      <c r="Z567" s="1126"/>
      <c r="AA567" s="1126"/>
    </row>
    <row r="568" ht="15.75" customHeight="1">
      <c r="A568" s="1126"/>
      <c r="B568" s="1126"/>
      <c r="C568" s="1126"/>
      <c r="D568" s="1126"/>
      <c r="E568" s="1126"/>
      <c r="F568" s="1126"/>
      <c r="G568" s="1126"/>
      <c r="H568" s="1126"/>
      <c r="I568" s="1126"/>
      <c r="J568" s="1126"/>
      <c r="K568" s="1126"/>
      <c r="L568" s="1126"/>
      <c r="M568" s="1126"/>
      <c r="N568" s="1126"/>
      <c r="O568" s="1126"/>
      <c r="P568" s="1126"/>
      <c r="Q568" s="1126"/>
      <c r="R568" s="1126"/>
      <c r="S568" s="1126"/>
      <c r="T568" s="1126"/>
      <c r="U568" s="1126"/>
      <c r="V568" s="1126"/>
      <c r="W568" s="1126"/>
      <c r="X568" s="1126"/>
      <c r="Y568" s="1126"/>
      <c r="Z568" s="1126"/>
      <c r="AA568" s="1126"/>
    </row>
    <row r="569" ht="15.75" customHeight="1">
      <c r="A569" s="1126"/>
      <c r="B569" s="1126"/>
      <c r="C569" s="1126"/>
      <c r="D569" s="1126"/>
      <c r="E569" s="1126"/>
      <c r="F569" s="1126"/>
      <c r="G569" s="1126"/>
      <c r="H569" s="1126"/>
      <c r="I569" s="1126"/>
      <c r="J569" s="1126"/>
      <c r="K569" s="1126"/>
      <c r="L569" s="1126"/>
      <c r="M569" s="1126"/>
      <c r="N569" s="1126"/>
      <c r="O569" s="1126"/>
      <c r="P569" s="1126"/>
      <c r="Q569" s="1126"/>
      <c r="R569" s="1126"/>
      <c r="S569" s="1126"/>
      <c r="T569" s="1126"/>
      <c r="U569" s="1126"/>
      <c r="V569" s="1126"/>
      <c r="W569" s="1126"/>
      <c r="X569" s="1126"/>
      <c r="Y569" s="1126"/>
      <c r="Z569" s="1126"/>
      <c r="AA569" s="1126"/>
    </row>
    <row r="570" ht="15.75" customHeight="1">
      <c r="A570" s="1126"/>
      <c r="B570" s="1126"/>
      <c r="C570" s="1126"/>
      <c r="D570" s="1126"/>
      <c r="E570" s="1126"/>
      <c r="F570" s="1126"/>
      <c r="G570" s="1126"/>
      <c r="H570" s="1126"/>
      <c r="I570" s="1126"/>
      <c r="J570" s="1126"/>
      <c r="K570" s="1126"/>
      <c r="L570" s="1126"/>
      <c r="M570" s="1126"/>
      <c r="N570" s="1126"/>
      <c r="O570" s="1126"/>
      <c r="P570" s="1126"/>
      <c r="Q570" s="1126"/>
      <c r="R570" s="1126"/>
      <c r="S570" s="1126"/>
      <c r="T570" s="1126"/>
      <c r="U570" s="1126"/>
      <c r="V570" s="1126"/>
      <c r="W570" s="1126"/>
      <c r="X570" s="1126"/>
      <c r="Y570" s="1126"/>
      <c r="Z570" s="1126"/>
      <c r="AA570" s="1126"/>
    </row>
    <row r="571" ht="15.75" customHeight="1">
      <c r="A571" s="1126"/>
      <c r="B571" s="1126"/>
      <c r="C571" s="1126"/>
      <c r="D571" s="1126"/>
      <c r="E571" s="1126"/>
      <c r="F571" s="1126"/>
      <c r="G571" s="1126"/>
      <c r="H571" s="1126"/>
      <c r="I571" s="1126"/>
      <c r="J571" s="1126"/>
      <c r="K571" s="1126"/>
      <c r="L571" s="1126"/>
      <c r="M571" s="1126"/>
      <c r="N571" s="1126"/>
      <c r="O571" s="1126"/>
      <c r="P571" s="1126"/>
      <c r="Q571" s="1126"/>
      <c r="R571" s="1126"/>
      <c r="S571" s="1126"/>
      <c r="T571" s="1126"/>
      <c r="U571" s="1126"/>
      <c r="V571" s="1126"/>
      <c r="W571" s="1126"/>
      <c r="X571" s="1126"/>
      <c r="Y571" s="1126"/>
      <c r="Z571" s="1126"/>
      <c r="AA571" s="1126"/>
    </row>
    <row r="572" ht="15.75" customHeight="1">
      <c r="A572" s="1126"/>
      <c r="B572" s="1126"/>
      <c r="C572" s="1126"/>
      <c r="D572" s="1126"/>
      <c r="E572" s="1126"/>
      <c r="F572" s="1126"/>
      <c r="G572" s="1126"/>
      <c r="H572" s="1126"/>
      <c r="I572" s="1126"/>
      <c r="J572" s="1126"/>
      <c r="K572" s="1126"/>
      <c r="L572" s="1126"/>
      <c r="M572" s="1126"/>
      <c r="N572" s="1126"/>
      <c r="O572" s="1126"/>
      <c r="P572" s="1126"/>
      <c r="Q572" s="1126"/>
      <c r="R572" s="1126"/>
      <c r="S572" s="1126"/>
      <c r="T572" s="1126"/>
      <c r="U572" s="1126"/>
      <c r="V572" s="1126"/>
      <c r="W572" s="1126"/>
      <c r="X572" s="1126"/>
      <c r="Y572" s="1126"/>
      <c r="Z572" s="1126"/>
      <c r="AA572" s="1126"/>
    </row>
    <row r="573" ht="15.75" customHeight="1">
      <c r="A573" s="1126"/>
      <c r="B573" s="1126"/>
      <c r="C573" s="1126"/>
      <c r="D573" s="1126"/>
      <c r="E573" s="1126"/>
      <c r="F573" s="1126"/>
      <c r="G573" s="1126"/>
      <c r="H573" s="1126"/>
      <c r="I573" s="1126"/>
      <c r="J573" s="1126"/>
      <c r="K573" s="1126"/>
      <c r="L573" s="1126"/>
      <c r="M573" s="1126"/>
      <c r="N573" s="1126"/>
      <c r="O573" s="1126"/>
      <c r="P573" s="1126"/>
      <c r="Q573" s="1126"/>
      <c r="R573" s="1126"/>
      <c r="S573" s="1126"/>
      <c r="T573" s="1126"/>
      <c r="U573" s="1126"/>
      <c r="V573" s="1126"/>
      <c r="W573" s="1126"/>
      <c r="X573" s="1126"/>
      <c r="Y573" s="1126"/>
      <c r="Z573" s="1126"/>
      <c r="AA573" s="1126"/>
    </row>
    <row r="574" ht="15.75" customHeight="1">
      <c r="A574" s="1126"/>
      <c r="B574" s="1126"/>
      <c r="C574" s="1126"/>
      <c r="D574" s="1126"/>
      <c r="E574" s="1126"/>
      <c r="F574" s="1126"/>
      <c r="G574" s="1126"/>
      <c r="H574" s="1126"/>
      <c r="I574" s="1126"/>
      <c r="J574" s="1126"/>
      <c r="K574" s="1126"/>
      <c r="L574" s="1126"/>
      <c r="M574" s="1126"/>
      <c r="N574" s="1126"/>
      <c r="O574" s="1126"/>
      <c r="P574" s="1126"/>
      <c r="Q574" s="1126"/>
      <c r="R574" s="1126"/>
      <c r="S574" s="1126"/>
      <c r="T574" s="1126"/>
      <c r="U574" s="1126"/>
      <c r="V574" s="1126"/>
      <c r="W574" s="1126"/>
      <c r="X574" s="1126"/>
      <c r="Y574" s="1126"/>
      <c r="Z574" s="1126"/>
      <c r="AA574" s="1126"/>
    </row>
    <row r="575" ht="15.75" customHeight="1">
      <c r="A575" s="1126"/>
      <c r="B575" s="1126"/>
      <c r="C575" s="1126"/>
      <c r="D575" s="1126"/>
      <c r="E575" s="1126"/>
      <c r="F575" s="1126"/>
      <c r="G575" s="1126"/>
      <c r="H575" s="1126"/>
      <c r="I575" s="1126"/>
      <c r="J575" s="1126"/>
      <c r="K575" s="1126"/>
      <c r="L575" s="1126"/>
      <c r="M575" s="1126"/>
      <c r="N575" s="1126"/>
      <c r="O575" s="1126"/>
      <c r="P575" s="1126"/>
      <c r="Q575" s="1126"/>
      <c r="R575" s="1126"/>
      <c r="S575" s="1126"/>
      <c r="T575" s="1126"/>
      <c r="U575" s="1126"/>
      <c r="V575" s="1126"/>
      <c r="W575" s="1126"/>
      <c r="X575" s="1126"/>
      <c r="Y575" s="1126"/>
      <c r="Z575" s="1126"/>
      <c r="AA575" s="1126"/>
    </row>
    <row r="576" ht="15.75" customHeight="1">
      <c r="A576" s="1126"/>
      <c r="B576" s="1126"/>
      <c r="C576" s="1126"/>
      <c r="D576" s="1126"/>
      <c r="E576" s="1126"/>
      <c r="F576" s="1126"/>
      <c r="G576" s="1126"/>
      <c r="H576" s="1126"/>
      <c r="I576" s="1126"/>
      <c r="J576" s="1126"/>
      <c r="K576" s="1126"/>
      <c r="L576" s="1126"/>
      <c r="M576" s="1126"/>
      <c r="N576" s="1126"/>
      <c r="O576" s="1126"/>
      <c r="P576" s="1126"/>
      <c r="Q576" s="1126"/>
      <c r="R576" s="1126"/>
      <c r="S576" s="1126"/>
      <c r="T576" s="1126"/>
      <c r="U576" s="1126"/>
      <c r="V576" s="1126"/>
      <c r="W576" s="1126"/>
      <c r="X576" s="1126"/>
      <c r="Y576" s="1126"/>
      <c r="Z576" s="1126"/>
      <c r="AA576" s="1126"/>
    </row>
    <row r="577" ht="15.75" customHeight="1">
      <c r="A577" s="1126"/>
      <c r="B577" s="1126"/>
      <c r="C577" s="1126"/>
      <c r="D577" s="1126"/>
      <c r="E577" s="1126"/>
      <c r="F577" s="1126"/>
      <c r="G577" s="1126"/>
      <c r="H577" s="1126"/>
      <c r="I577" s="1126"/>
      <c r="J577" s="1126"/>
      <c r="K577" s="1126"/>
      <c r="L577" s="1126"/>
      <c r="M577" s="1126"/>
      <c r="N577" s="1126"/>
      <c r="O577" s="1126"/>
      <c r="P577" s="1126"/>
      <c r="Q577" s="1126"/>
      <c r="R577" s="1126"/>
      <c r="S577" s="1126"/>
      <c r="T577" s="1126"/>
      <c r="U577" s="1126"/>
      <c r="V577" s="1126"/>
      <c r="W577" s="1126"/>
      <c r="X577" s="1126"/>
      <c r="Y577" s="1126"/>
      <c r="Z577" s="1126"/>
      <c r="AA577" s="1126"/>
    </row>
    <row r="578" ht="15.75" customHeight="1">
      <c r="A578" s="1126"/>
      <c r="B578" s="1126"/>
      <c r="C578" s="1126"/>
      <c r="D578" s="1126"/>
      <c r="E578" s="1126"/>
      <c r="F578" s="1126"/>
      <c r="G578" s="1126"/>
      <c r="H578" s="1126"/>
      <c r="I578" s="1126"/>
      <c r="J578" s="1126"/>
      <c r="K578" s="1126"/>
      <c r="L578" s="1126"/>
      <c r="M578" s="1126"/>
      <c r="N578" s="1126"/>
      <c r="O578" s="1126"/>
      <c r="P578" s="1126"/>
      <c r="Q578" s="1126"/>
      <c r="R578" s="1126"/>
      <c r="S578" s="1126"/>
      <c r="T578" s="1126"/>
      <c r="U578" s="1126"/>
      <c r="V578" s="1126"/>
      <c r="W578" s="1126"/>
      <c r="X578" s="1126"/>
      <c r="Y578" s="1126"/>
      <c r="Z578" s="1126"/>
      <c r="AA578" s="1126"/>
    </row>
    <row r="579" ht="15.75" customHeight="1">
      <c r="A579" s="1126"/>
      <c r="B579" s="1126"/>
      <c r="C579" s="1126"/>
      <c r="D579" s="1126"/>
      <c r="E579" s="1126"/>
      <c r="F579" s="1126"/>
      <c r="G579" s="1126"/>
      <c r="H579" s="1126"/>
      <c r="I579" s="1126"/>
      <c r="J579" s="1126"/>
      <c r="K579" s="1126"/>
      <c r="L579" s="1126"/>
      <c r="M579" s="1126"/>
      <c r="N579" s="1126"/>
      <c r="O579" s="1126"/>
      <c r="P579" s="1126"/>
      <c r="Q579" s="1126"/>
      <c r="R579" s="1126"/>
      <c r="S579" s="1126"/>
      <c r="T579" s="1126"/>
      <c r="U579" s="1126"/>
      <c r="V579" s="1126"/>
      <c r="W579" s="1126"/>
      <c r="X579" s="1126"/>
      <c r="Y579" s="1126"/>
      <c r="Z579" s="1126"/>
      <c r="AA579" s="1126"/>
    </row>
    <row r="580" ht="15.75" customHeight="1">
      <c r="A580" s="1126"/>
      <c r="B580" s="1126"/>
      <c r="C580" s="1126"/>
      <c r="D580" s="1126"/>
      <c r="E580" s="1126"/>
      <c r="F580" s="1126"/>
      <c r="G580" s="1126"/>
      <c r="H580" s="1126"/>
      <c r="I580" s="1126"/>
      <c r="J580" s="1126"/>
      <c r="K580" s="1126"/>
      <c r="L580" s="1126"/>
      <c r="M580" s="1126"/>
      <c r="N580" s="1126"/>
      <c r="O580" s="1126"/>
      <c r="P580" s="1126"/>
      <c r="Q580" s="1126"/>
      <c r="R580" s="1126"/>
      <c r="S580" s="1126"/>
      <c r="T580" s="1126"/>
      <c r="U580" s="1126"/>
      <c r="V580" s="1126"/>
      <c r="W580" s="1126"/>
      <c r="X580" s="1126"/>
      <c r="Y580" s="1126"/>
      <c r="Z580" s="1126"/>
      <c r="AA580" s="1126"/>
    </row>
    <row r="581" ht="15.75" customHeight="1">
      <c r="A581" s="1126"/>
      <c r="B581" s="1126"/>
      <c r="C581" s="1126"/>
      <c r="D581" s="1126"/>
      <c r="E581" s="1126"/>
      <c r="F581" s="1126"/>
      <c r="G581" s="1126"/>
      <c r="H581" s="1126"/>
      <c r="I581" s="1126"/>
      <c r="J581" s="1126"/>
      <c r="K581" s="1126"/>
      <c r="L581" s="1126"/>
      <c r="M581" s="1126"/>
      <c r="N581" s="1126"/>
      <c r="O581" s="1126"/>
      <c r="P581" s="1126"/>
      <c r="Q581" s="1126"/>
      <c r="R581" s="1126"/>
      <c r="S581" s="1126"/>
      <c r="T581" s="1126"/>
      <c r="U581" s="1126"/>
      <c r="V581" s="1126"/>
      <c r="W581" s="1126"/>
      <c r="X581" s="1126"/>
      <c r="Y581" s="1126"/>
      <c r="Z581" s="1126"/>
      <c r="AA581" s="1126"/>
    </row>
    <row r="582" ht="15.75" customHeight="1">
      <c r="A582" s="1126"/>
      <c r="B582" s="1126"/>
      <c r="C582" s="1126"/>
      <c r="D582" s="1126"/>
      <c r="E582" s="1126"/>
      <c r="F582" s="1126"/>
      <c r="G582" s="1126"/>
      <c r="H582" s="1126"/>
      <c r="I582" s="1126"/>
      <c r="J582" s="1126"/>
      <c r="K582" s="1126"/>
      <c r="L582" s="1126"/>
      <c r="M582" s="1126"/>
      <c r="N582" s="1126"/>
      <c r="O582" s="1126"/>
      <c r="P582" s="1126"/>
      <c r="Q582" s="1126"/>
      <c r="R582" s="1126"/>
      <c r="S582" s="1126"/>
      <c r="T582" s="1126"/>
      <c r="U582" s="1126"/>
      <c r="V582" s="1126"/>
      <c r="W582" s="1126"/>
      <c r="X582" s="1126"/>
      <c r="Y582" s="1126"/>
      <c r="Z582" s="1126"/>
      <c r="AA582" s="1126"/>
    </row>
    <row r="583" ht="15.75" customHeight="1">
      <c r="A583" s="1126"/>
      <c r="B583" s="1126"/>
      <c r="C583" s="1126"/>
      <c r="D583" s="1126"/>
      <c r="E583" s="1126"/>
      <c r="F583" s="1126"/>
      <c r="G583" s="1126"/>
      <c r="H583" s="1126"/>
      <c r="I583" s="1126"/>
      <c r="J583" s="1126"/>
      <c r="K583" s="1126"/>
      <c r="L583" s="1126"/>
      <c r="M583" s="1126"/>
      <c r="N583" s="1126"/>
      <c r="O583" s="1126"/>
      <c r="P583" s="1126"/>
      <c r="Q583" s="1126"/>
      <c r="R583" s="1126"/>
      <c r="S583" s="1126"/>
      <c r="T583" s="1126"/>
      <c r="U583" s="1126"/>
      <c r="V583" s="1126"/>
      <c r="W583" s="1126"/>
      <c r="X583" s="1126"/>
      <c r="Y583" s="1126"/>
      <c r="Z583" s="1126"/>
      <c r="AA583" s="1126"/>
    </row>
    <row r="584" ht="15.75" customHeight="1">
      <c r="A584" s="1126"/>
      <c r="B584" s="1126"/>
      <c r="C584" s="1126"/>
      <c r="D584" s="1126"/>
      <c r="E584" s="1126"/>
      <c r="F584" s="1126"/>
      <c r="G584" s="1126"/>
      <c r="H584" s="1126"/>
      <c r="I584" s="1126"/>
      <c r="J584" s="1126"/>
      <c r="K584" s="1126"/>
      <c r="L584" s="1126"/>
      <c r="M584" s="1126"/>
      <c r="N584" s="1126"/>
      <c r="O584" s="1126"/>
      <c r="P584" s="1126"/>
      <c r="Q584" s="1126"/>
      <c r="R584" s="1126"/>
      <c r="S584" s="1126"/>
      <c r="T584" s="1126"/>
      <c r="U584" s="1126"/>
      <c r="V584" s="1126"/>
      <c r="W584" s="1126"/>
      <c r="X584" s="1126"/>
      <c r="Y584" s="1126"/>
      <c r="Z584" s="1126"/>
      <c r="AA584" s="1126"/>
    </row>
    <row r="585" ht="15.75" customHeight="1">
      <c r="A585" s="1126"/>
      <c r="B585" s="1126"/>
      <c r="C585" s="1126"/>
      <c r="D585" s="1126"/>
      <c r="E585" s="1126"/>
      <c r="F585" s="1126"/>
      <c r="G585" s="1126"/>
      <c r="H585" s="1126"/>
      <c r="I585" s="1126"/>
      <c r="J585" s="1126"/>
      <c r="K585" s="1126"/>
      <c r="L585" s="1126"/>
      <c r="M585" s="1126"/>
      <c r="N585" s="1126"/>
      <c r="O585" s="1126"/>
      <c r="P585" s="1126"/>
      <c r="Q585" s="1126"/>
      <c r="R585" s="1126"/>
      <c r="S585" s="1126"/>
      <c r="T585" s="1126"/>
      <c r="U585" s="1126"/>
      <c r="V585" s="1126"/>
      <c r="W585" s="1126"/>
      <c r="X585" s="1126"/>
      <c r="Y585" s="1126"/>
      <c r="Z585" s="1126"/>
      <c r="AA585" s="1126"/>
    </row>
    <row r="586" ht="15.75" customHeight="1">
      <c r="A586" s="1126"/>
      <c r="B586" s="1126"/>
      <c r="C586" s="1126"/>
      <c r="D586" s="1126"/>
      <c r="E586" s="1126"/>
      <c r="F586" s="1126"/>
      <c r="G586" s="1126"/>
      <c r="H586" s="1126"/>
      <c r="I586" s="1126"/>
      <c r="J586" s="1126"/>
      <c r="K586" s="1126"/>
      <c r="L586" s="1126"/>
      <c r="M586" s="1126"/>
      <c r="N586" s="1126"/>
      <c r="O586" s="1126"/>
      <c r="P586" s="1126"/>
      <c r="Q586" s="1126"/>
      <c r="R586" s="1126"/>
      <c r="S586" s="1126"/>
      <c r="T586" s="1126"/>
      <c r="U586" s="1126"/>
      <c r="V586" s="1126"/>
      <c r="W586" s="1126"/>
      <c r="X586" s="1126"/>
      <c r="Y586" s="1126"/>
      <c r="Z586" s="1126"/>
      <c r="AA586" s="1126"/>
    </row>
    <row r="587" ht="15.75" customHeight="1">
      <c r="A587" s="1126"/>
      <c r="B587" s="1126"/>
      <c r="C587" s="1126"/>
      <c r="D587" s="1126"/>
      <c r="E587" s="1126"/>
      <c r="F587" s="1126"/>
      <c r="G587" s="1126"/>
      <c r="H587" s="1126"/>
      <c r="I587" s="1126"/>
      <c r="J587" s="1126"/>
      <c r="K587" s="1126"/>
      <c r="L587" s="1126"/>
      <c r="M587" s="1126"/>
      <c r="N587" s="1126"/>
      <c r="O587" s="1126"/>
      <c r="P587" s="1126"/>
      <c r="Q587" s="1126"/>
      <c r="R587" s="1126"/>
      <c r="S587" s="1126"/>
      <c r="T587" s="1126"/>
      <c r="U587" s="1126"/>
      <c r="V587" s="1126"/>
      <c r="W587" s="1126"/>
      <c r="X587" s="1126"/>
      <c r="Y587" s="1126"/>
      <c r="Z587" s="1126"/>
      <c r="AA587" s="1126"/>
    </row>
    <row r="588" ht="15.75" customHeight="1">
      <c r="A588" s="1126"/>
      <c r="B588" s="1126"/>
      <c r="C588" s="1126"/>
      <c r="D588" s="1126"/>
      <c r="E588" s="1126"/>
      <c r="F588" s="1126"/>
      <c r="G588" s="1126"/>
      <c r="H588" s="1126"/>
      <c r="I588" s="1126"/>
      <c r="J588" s="1126"/>
      <c r="K588" s="1126"/>
      <c r="L588" s="1126"/>
      <c r="M588" s="1126"/>
      <c r="N588" s="1126"/>
      <c r="O588" s="1126"/>
      <c r="P588" s="1126"/>
      <c r="Q588" s="1126"/>
      <c r="R588" s="1126"/>
      <c r="S588" s="1126"/>
      <c r="T588" s="1126"/>
      <c r="U588" s="1126"/>
      <c r="V588" s="1126"/>
      <c r="W588" s="1126"/>
      <c r="X588" s="1126"/>
      <c r="Y588" s="1126"/>
      <c r="Z588" s="1126"/>
      <c r="AA588" s="1126"/>
    </row>
    <row r="589" ht="15.75" customHeight="1">
      <c r="A589" s="1126"/>
      <c r="B589" s="1126"/>
      <c r="C589" s="1126"/>
      <c r="D589" s="1126"/>
      <c r="E589" s="1126"/>
      <c r="F589" s="1126"/>
      <c r="G589" s="1126"/>
      <c r="H589" s="1126"/>
      <c r="I589" s="1126"/>
      <c r="J589" s="1126"/>
      <c r="K589" s="1126"/>
      <c r="L589" s="1126"/>
      <c r="M589" s="1126"/>
      <c r="N589" s="1126"/>
      <c r="O589" s="1126"/>
      <c r="P589" s="1126"/>
      <c r="Q589" s="1126"/>
      <c r="R589" s="1126"/>
      <c r="S589" s="1126"/>
      <c r="T589" s="1126"/>
      <c r="U589" s="1126"/>
      <c r="V589" s="1126"/>
      <c r="W589" s="1126"/>
      <c r="X589" s="1126"/>
      <c r="Y589" s="1126"/>
      <c r="Z589" s="1126"/>
      <c r="AA589" s="1126"/>
    </row>
    <row r="590" ht="15.75" customHeight="1">
      <c r="A590" s="1126"/>
      <c r="B590" s="1126"/>
      <c r="C590" s="1126"/>
      <c r="D590" s="1126"/>
      <c r="E590" s="1126"/>
      <c r="F590" s="1126"/>
      <c r="G590" s="1126"/>
      <c r="H590" s="1126"/>
      <c r="I590" s="1126"/>
      <c r="J590" s="1126"/>
      <c r="K590" s="1126"/>
      <c r="L590" s="1126"/>
      <c r="M590" s="1126"/>
      <c r="N590" s="1126"/>
      <c r="O590" s="1126"/>
      <c r="P590" s="1126"/>
      <c r="Q590" s="1126"/>
      <c r="R590" s="1126"/>
      <c r="S590" s="1126"/>
      <c r="T590" s="1126"/>
      <c r="U590" s="1126"/>
      <c r="V590" s="1126"/>
      <c r="W590" s="1126"/>
      <c r="X590" s="1126"/>
      <c r="Y590" s="1126"/>
      <c r="Z590" s="1126"/>
      <c r="AA590" s="1126"/>
    </row>
    <row r="591" ht="15.75" customHeight="1">
      <c r="A591" s="1126"/>
      <c r="B591" s="1126"/>
      <c r="C591" s="1126"/>
      <c r="D591" s="1126"/>
      <c r="E591" s="1126"/>
      <c r="F591" s="1126"/>
      <c r="G591" s="1126"/>
      <c r="H591" s="1126"/>
      <c r="I591" s="1126"/>
      <c r="J591" s="1126"/>
      <c r="K591" s="1126"/>
      <c r="L591" s="1126"/>
      <c r="M591" s="1126"/>
      <c r="N591" s="1126"/>
      <c r="O591" s="1126"/>
      <c r="P591" s="1126"/>
      <c r="Q591" s="1126"/>
      <c r="R591" s="1126"/>
      <c r="S591" s="1126"/>
      <c r="T591" s="1126"/>
      <c r="U591" s="1126"/>
      <c r="V591" s="1126"/>
      <c r="W591" s="1126"/>
      <c r="X591" s="1126"/>
      <c r="Y591" s="1126"/>
      <c r="Z591" s="1126"/>
      <c r="AA591" s="1126"/>
    </row>
    <row r="592" ht="15.75" customHeight="1">
      <c r="A592" s="1126"/>
      <c r="B592" s="1126"/>
      <c r="C592" s="1126"/>
      <c r="D592" s="1126"/>
      <c r="E592" s="1126"/>
      <c r="F592" s="1126"/>
      <c r="G592" s="1126"/>
      <c r="H592" s="1126"/>
      <c r="I592" s="1126"/>
      <c r="J592" s="1126"/>
      <c r="K592" s="1126"/>
      <c r="L592" s="1126"/>
      <c r="M592" s="1126"/>
      <c r="N592" s="1126"/>
      <c r="O592" s="1126"/>
      <c r="P592" s="1126"/>
      <c r="Q592" s="1126"/>
      <c r="R592" s="1126"/>
      <c r="S592" s="1126"/>
      <c r="T592" s="1126"/>
      <c r="U592" s="1126"/>
      <c r="V592" s="1126"/>
      <c r="W592" s="1126"/>
      <c r="X592" s="1126"/>
      <c r="Y592" s="1126"/>
      <c r="Z592" s="1126"/>
      <c r="AA592" s="1126"/>
    </row>
    <row r="593" ht="15.75" customHeight="1">
      <c r="A593" s="1126"/>
      <c r="B593" s="1126"/>
      <c r="C593" s="1126"/>
      <c r="D593" s="1126"/>
      <c r="E593" s="1126"/>
      <c r="F593" s="1126"/>
      <c r="G593" s="1126"/>
      <c r="H593" s="1126"/>
      <c r="I593" s="1126"/>
      <c r="J593" s="1126"/>
      <c r="K593" s="1126"/>
      <c r="L593" s="1126"/>
      <c r="M593" s="1126"/>
      <c r="N593" s="1126"/>
      <c r="O593" s="1126"/>
      <c r="P593" s="1126"/>
      <c r="Q593" s="1126"/>
      <c r="R593" s="1126"/>
      <c r="S593" s="1126"/>
      <c r="T593" s="1126"/>
      <c r="U593" s="1126"/>
      <c r="V593" s="1126"/>
      <c r="W593" s="1126"/>
      <c r="X593" s="1126"/>
      <c r="Y593" s="1126"/>
      <c r="Z593" s="1126"/>
      <c r="AA593" s="1126"/>
    </row>
    <row r="594" ht="15.75" customHeight="1">
      <c r="A594" s="1126"/>
      <c r="B594" s="1126"/>
      <c r="C594" s="1126"/>
      <c r="D594" s="1126"/>
      <c r="E594" s="1126"/>
      <c r="F594" s="1126"/>
      <c r="G594" s="1126"/>
      <c r="H594" s="1126"/>
      <c r="I594" s="1126"/>
      <c r="J594" s="1126"/>
      <c r="K594" s="1126"/>
      <c r="L594" s="1126"/>
      <c r="M594" s="1126"/>
      <c r="N594" s="1126"/>
      <c r="O594" s="1126"/>
      <c r="P594" s="1126"/>
      <c r="Q594" s="1126"/>
      <c r="R594" s="1126"/>
      <c r="S594" s="1126"/>
      <c r="T594" s="1126"/>
      <c r="U594" s="1126"/>
      <c r="V594" s="1126"/>
      <c r="W594" s="1126"/>
      <c r="X594" s="1126"/>
      <c r="Y594" s="1126"/>
      <c r="Z594" s="1126"/>
      <c r="AA594" s="1126"/>
    </row>
    <row r="595" ht="15.75" customHeight="1">
      <c r="A595" s="1126"/>
      <c r="B595" s="1126"/>
      <c r="C595" s="1126"/>
      <c r="D595" s="1126"/>
      <c r="E595" s="1126"/>
      <c r="F595" s="1126"/>
      <c r="G595" s="1126"/>
      <c r="H595" s="1126"/>
      <c r="I595" s="1126"/>
      <c r="J595" s="1126"/>
      <c r="K595" s="1126"/>
      <c r="L595" s="1126"/>
      <c r="M595" s="1126"/>
      <c r="N595" s="1126"/>
      <c r="O595" s="1126"/>
      <c r="P595" s="1126"/>
      <c r="Q595" s="1126"/>
      <c r="R595" s="1126"/>
      <c r="S595" s="1126"/>
      <c r="T595" s="1126"/>
      <c r="U595" s="1126"/>
      <c r="V595" s="1126"/>
      <c r="W595" s="1126"/>
      <c r="X595" s="1126"/>
      <c r="Y595" s="1126"/>
      <c r="Z595" s="1126"/>
      <c r="AA595" s="1126"/>
    </row>
    <row r="596" ht="15.75" customHeight="1">
      <c r="A596" s="1126"/>
      <c r="B596" s="1126"/>
      <c r="C596" s="1126"/>
      <c r="D596" s="1126"/>
      <c r="E596" s="1126"/>
      <c r="F596" s="1126"/>
      <c r="G596" s="1126"/>
      <c r="H596" s="1126"/>
      <c r="I596" s="1126"/>
      <c r="J596" s="1126"/>
      <c r="K596" s="1126"/>
      <c r="L596" s="1126"/>
      <c r="M596" s="1126"/>
      <c r="N596" s="1126"/>
      <c r="O596" s="1126"/>
      <c r="P596" s="1126"/>
      <c r="Q596" s="1126"/>
      <c r="R596" s="1126"/>
      <c r="S596" s="1126"/>
      <c r="T596" s="1126"/>
      <c r="U596" s="1126"/>
      <c r="V596" s="1126"/>
      <c r="W596" s="1126"/>
      <c r="X596" s="1126"/>
      <c r="Y596" s="1126"/>
      <c r="Z596" s="1126"/>
      <c r="AA596" s="1126"/>
    </row>
    <row r="597" ht="15.75" customHeight="1">
      <c r="A597" s="1126"/>
      <c r="B597" s="1126"/>
      <c r="C597" s="1126"/>
      <c r="D597" s="1126"/>
      <c r="E597" s="1126"/>
      <c r="F597" s="1126"/>
      <c r="G597" s="1126"/>
      <c r="H597" s="1126"/>
      <c r="I597" s="1126"/>
      <c r="J597" s="1126"/>
      <c r="K597" s="1126"/>
      <c r="L597" s="1126"/>
      <c r="M597" s="1126"/>
      <c r="N597" s="1126"/>
      <c r="O597" s="1126"/>
      <c r="P597" s="1126"/>
      <c r="Q597" s="1126"/>
      <c r="R597" s="1126"/>
      <c r="S597" s="1126"/>
      <c r="T597" s="1126"/>
      <c r="U597" s="1126"/>
      <c r="V597" s="1126"/>
      <c r="W597" s="1126"/>
      <c r="X597" s="1126"/>
      <c r="Y597" s="1126"/>
      <c r="Z597" s="1126"/>
      <c r="AA597" s="1126"/>
    </row>
    <row r="598" ht="15.75" customHeight="1">
      <c r="A598" s="1126"/>
      <c r="B598" s="1126"/>
      <c r="C598" s="1126"/>
      <c r="D598" s="1126"/>
      <c r="E598" s="1126"/>
      <c r="F598" s="1126"/>
      <c r="G598" s="1126"/>
      <c r="H598" s="1126"/>
      <c r="I598" s="1126"/>
      <c r="J598" s="1126"/>
      <c r="K598" s="1126"/>
      <c r="L598" s="1126"/>
      <c r="M598" s="1126"/>
      <c r="N598" s="1126"/>
      <c r="O598" s="1126"/>
      <c r="P598" s="1126"/>
      <c r="Q598" s="1126"/>
      <c r="R598" s="1126"/>
      <c r="S598" s="1126"/>
      <c r="T598" s="1126"/>
      <c r="U598" s="1126"/>
      <c r="V598" s="1126"/>
      <c r="W598" s="1126"/>
      <c r="X598" s="1126"/>
      <c r="Y598" s="1126"/>
      <c r="Z598" s="1126"/>
      <c r="AA598" s="1126"/>
    </row>
    <row r="599" ht="15.75" customHeight="1">
      <c r="A599" s="1126"/>
      <c r="B599" s="1126"/>
      <c r="C599" s="1126"/>
      <c r="D599" s="1126"/>
      <c r="E599" s="1126"/>
      <c r="F599" s="1126"/>
      <c r="G599" s="1126"/>
      <c r="H599" s="1126"/>
      <c r="I599" s="1126"/>
      <c r="J599" s="1126"/>
      <c r="K599" s="1126"/>
      <c r="L599" s="1126"/>
      <c r="M599" s="1126"/>
      <c r="N599" s="1126"/>
      <c r="O599" s="1126"/>
      <c r="P599" s="1126"/>
      <c r="Q599" s="1126"/>
      <c r="R599" s="1126"/>
      <c r="S599" s="1126"/>
      <c r="T599" s="1126"/>
      <c r="U599" s="1126"/>
      <c r="V599" s="1126"/>
      <c r="W599" s="1126"/>
      <c r="X599" s="1126"/>
      <c r="Y599" s="1126"/>
      <c r="Z599" s="1126"/>
      <c r="AA599" s="1126"/>
    </row>
    <row r="600" ht="15.75" customHeight="1">
      <c r="A600" s="1126"/>
      <c r="B600" s="1126"/>
      <c r="C600" s="1126"/>
      <c r="D600" s="1126"/>
      <c r="E600" s="1126"/>
      <c r="F600" s="1126"/>
      <c r="G600" s="1126"/>
      <c r="H600" s="1126"/>
      <c r="I600" s="1126"/>
      <c r="J600" s="1126"/>
      <c r="K600" s="1126"/>
      <c r="L600" s="1126"/>
      <c r="M600" s="1126"/>
      <c r="N600" s="1126"/>
      <c r="O600" s="1126"/>
      <c r="P600" s="1126"/>
      <c r="Q600" s="1126"/>
      <c r="R600" s="1126"/>
      <c r="S600" s="1126"/>
      <c r="T600" s="1126"/>
      <c r="U600" s="1126"/>
      <c r="V600" s="1126"/>
      <c r="W600" s="1126"/>
      <c r="X600" s="1126"/>
      <c r="Y600" s="1126"/>
      <c r="Z600" s="1126"/>
      <c r="AA600" s="1126"/>
    </row>
    <row r="601" ht="15.75" customHeight="1">
      <c r="A601" s="1126"/>
      <c r="B601" s="1126"/>
      <c r="C601" s="1126"/>
      <c r="D601" s="1126"/>
      <c r="E601" s="1126"/>
      <c r="F601" s="1126"/>
      <c r="G601" s="1126"/>
      <c r="H601" s="1126"/>
      <c r="I601" s="1126"/>
      <c r="J601" s="1126"/>
      <c r="K601" s="1126"/>
      <c r="L601" s="1126"/>
      <c r="M601" s="1126"/>
      <c r="N601" s="1126"/>
      <c r="O601" s="1126"/>
      <c r="P601" s="1126"/>
      <c r="Q601" s="1126"/>
      <c r="R601" s="1126"/>
      <c r="S601" s="1126"/>
      <c r="T601" s="1126"/>
      <c r="U601" s="1126"/>
      <c r="V601" s="1126"/>
      <c r="W601" s="1126"/>
      <c r="X601" s="1126"/>
      <c r="Y601" s="1126"/>
      <c r="Z601" s="1126"/>
      <c r="AA601" s="1126"/>
    </row>
    <row r="602" ht="15.75" customHeight="1">
      <c r="A602" s="1126"/>
      <c r="B602" s="1126"/>
      <c r="C602" s="1126"/>
      <c r="D602" s="1126"/>
      <c r="E602" s="1126"/>
      <c r="F602" s="1126"/>
      <c r="G602" s="1126"/>
      <c r="H602" s="1126"/>
      <c r="I602" s="1126"/>
      <c r="J602" s="1126"/>
      <c r="K602" s="1126"/>
      <c r="L602" s="1126"/>
      <c r="M602" s="1126"/>
      <c r="N602" s="1126"/>
      <c r="O602" s="1126"/>
      <c r="P602" s="1126"/>
      <c r="Q602" s="1126"/>
      <c r="R602" s="1126"/>
      <c r="S602" s="1126"/>
      <c r="T602" s="1126"/>
      <c r="U602" s="1126"/>
      <c r="V602" s="1126"/>
      <c r="W602" s="1126"/>
      <c r="X602" s="1126"/>
      <c r="Y602" s="1126"/>
      <c r="Z602" s="1126"/>
      <c r="AA602" s="1126"/>
    </row>
    <row r="603" ht="15.75" customHeight="1">
      <c r="A603" s="1126"/>
      <c r="B603" s="1126"/>
      <c r="C603" s="1126"/>
      <c r="D603" s="1126"/>
      <c r="E603" s="1126"/>
      <c r="F603" s="1126"/>
      <c r="G603" s="1126"/>
      <c r="H603" s="1126"/>
      <c r="I603" s="1126"/>
      <c r="J603" s="1126"/>
      <c r="K603" s="1126"/>
      <c r="L603" s="1126"/>
      <c r="M603" s="1126"/>
      <c r="N603" s="1126"/>
      <c r="O603" s="1126"/>
      <c r="P603" s="1126"/>
      <c r="Q603" s="1126"/>
      <c r="R603" s="1126"/>
      <c r="S603" s="1126"/>
      <c r="T603" s="1126"/>
      <c r="U603" s="1126"/>
      <c r="V603" s="1126"/>
      <c r="W603" s="1126"/>
      <c r="X603" s="1126"/>
      <c r="Y603" s="1126"/>
      <c r="Z603" s="1126"/>
      <c r="AA603" s="1126"/>
    </row>
    <row r="604" ht="15.75" customHeight="1">
      <c r="A604" s="1126"/>
      <c r="B604" s="1126"/>
      <c r="C604" s="1126"/>
      <c r="D604" s="1126"/>
      <c r="E604" s="1126"/>
      <c r="F604" s="1126"/>
      <c r="G604" s="1126"/>
      <c r="H604" s="1126"/>
      <c r="I604" s="1126"/>
      <c r="J604" s="1126"/>
      <c r="K604" s="1126"/>
      <c r="L604" s="1126"/>
      <c r="M604" s="1126"/>
      <c r="N604" s="1126"/>
      <c r="O604" s="1126"/>
      <c r="P604" s="1126"/>
      <c r="Q604" s="1126"/>
      <c r="R604" s="1126"/>
      <c r="S604" s="1126"/>
      <c r="T604" s="1126"/>
      <c r="U604" s="1126"/>
      <c r="V604" s="1126"/>
      <c r="W604" s="1126"/>
      <c r="X604" s="1126"/>
      <c r="Y604" s="1126"/>
      <c r="Z604" s="1126"/>
      <c r="AA604" s="1126"/>
    </row>
    <row r="605" ht="15.75" customHeight="1">
      <c r="A605" s="1126"/>
      <c r="B605" s="1126"/>
      <c r="C605" s="1126"/>
      <c r="D605" s="1126"/>
      <c r="E605" s="1126"/>
      <c r="F605" s="1126"/>
      <c r="G605" s="1126"/>
      <c r="H605" s="1126"/>
      <c r="I605" s="1126"/>
      <c r="J605" s="1126"/>
      <c r="K605" s="1126"/>
      <c r="L605" s="1126"/>
      <c r="M605" s="1126"/>
      <c r="N605" s="1126"/>
      <c r="O605" s="1126"/>
      <c r="P605" s="1126"/>
      <c r="Q605" s="1126"/>
      <c r="R605" s="1126"/>
      <c r="S605" s="1126"/>
      <c r="T605" s="1126"/>
      <c r="U605" s="1126"/>
      <c r="V605" s="1126"/>
      <c r="W605" s="1126"/>
      <c r="X605" s="1126"/>
      <c r="Y605" s="1126"/>
      <c r="Z605" s="1126"/>
      <c r="AA605" s="1126"/>
    </row>
    <row r="606" ht="15.75" customHeight="1">
      <c r="A606" s="1126"/>
      <c r="B606" s="1126"/>
      <c r="C606" s="1126"/>
      <c r="D606" s="1126"/>
      <c r="E606" s="1126"/>
      <c r="F606" s="1126"/>
      <c r="G606" s="1126"/>
      <c r="H606" s="1126"/>
      <c r="I606" s="1126"/>
      <c r="J606" s="1126"/>
      <c r="K606" s="1126"/>
      <c r="L606" s="1126"/>
      <c r="M606" s="1126"/>
      <c r="N606" s="1126"/>
      <c r="O606" s="1126"/>
      <c r="P606" s="1126"/>
      <c r="Q606" s="1126"/>
      <c r="R606" s="1126"/>
      <c r="S606" s="1126"/>
      <c r="T606" s="1126"/>
      <c r="U606" s="1126"/>
      <c r="V606" s="1126"/>
      <c r="W606" s="1126"/>
      <c r="X606" s="1126"/>
      <c r="Y606" s="1126"/>
      <c r="Z606" s="1126"/>
      <c r="AA606" s="1126"/>
    </row>
    <row r="607" ht="15.75" customHeight="1">
      <c r="A607" s="1126"/>
      <c r="B607" s="1126"/>
      <c r="C607" s="1126"/>
      <c r="D607" s="1126"/>
      <c r="E607" s="1126"/>
      <c r="F607" s="1126"/>
      <c r="G607" s="1126"/>
      <c r="H607" s="1126"/>
      <c r="I607" s="1126"/>
      <c r="J607" s="1126"/>
      <c r="K607" s="1126"/>
      <c r="L607" s="1126"/>
      <c r="M607" s="1126"/>
      <c r="N607" s="1126"/>
      <c r="O607" s="1126"/>
      <c r="P607" s="1126"/>
      <c r="Q607" s="1126"/>
      <c r="R607" s="1126"/>
      <c r="S607" s="1126"/>
      <c r="T607" s="1126"/>
      <c r="U607" s="1126"/>
      <c r="V607" s="1126"/>
      <c r="W607" s="1126"/>
      <c r="X607" s="1126"/>
      <c r="Y607" s="1126"/>
      <c r="Z607" s="1126"/>
      <c r="AA607" s="1126"/>
    </row>
    <row r="608" ht="15.75" customHeight="1">
      <c r="A608" s="1126"/>
      <c r="B608" s="1126"/>
      <c r="C608" s="1126"/>
      <c r="D608" s="1126"/>
      <c r="E608" s="1126"/>
      <c r="F608" s="1126"/>
      <c r="G608" s="1126"/>
      <c r="H608" s="1126"/>
      <c r="I608" s="1126"/>
      <c r="J608" s="1126"/>
      <c r="K608" s="1126"/>
      <c r="L608" s="1126"/>
      <c r="M608" s="1126"/>
      <c r="N608" s="1126"/>
      <c r="O608" s="1126"/>
      <c r="P608" s="1126"/>
      <c r="Q608" s="1126"/>
      <c r="R608" s="1126"/>
      <c r="S608" s="1126"/>
      <c r="T608" s="1126"/>
      <c r="U608" s="1126"/>
      <c r="V608" s="1126"/>
      <c r="W608" s="1126"/>
      <c r="X608" s="1126"/>
      <c r="Y608" s="1126"/>
      <c r="Z608" s="1126"/>
      <c r="AA608" s="1126"/>
    </row>
    <row r="609" ht="15.75" customHeight="1">
      <c r="A609" s="1126"/>
      <c r="B609" s="1126"/>
      <c r="C609" s="1126"/>
      <c r="D609" s="1126"/>
      <c r="E609" s="1126"/>
      <c r="F609" s="1126"/>
      <c r="G609" s="1126"/>
      <c r="H609" s="1126"/>
      <c r="I609" s="1126"/>
      <c r="J609" s="1126"/>
      <c r="K609" s="1126"/>
      <c r="L609" s="1126"/>
      <c r="M609" s="1126"/>
      <c r="N609" s="1126"/>
      <c r="O609" s="1126"/>
      <c r="P609" s="1126"/>
      <c r="Q609" s="1126"/>
      <c r="R609" s="1126"/>
      <c r="S609" s="1126"/>
      <c r="T609" s="1126"/>
      <c r="U609" s="1126"/>
      <c r="V609" s="1126"/>
      <c r="W609" s="1126"/>
      <c r="X609" s="1126"/>
      <c r="Y609" s="1126"/>
      <c r="Z609" s="1126"/>
      <c r="AA609" s="1126"/>
    </row>
    <row r="610" ht="15.75" customHeight="1">
      <c r="A610" s="1126"/>
      <c r="B610" s="1126"/>
      <c r="C610" s="1126"/>
      <c r="D610" s="1126"/>
      <c r="E610" s="1126"/>
      <c r="F610" s="1126"/>
      <c r="G610" s="1126"/>
      <c r="H610" s="1126"/>
      <c r="I610" s="1126"/>
      <c r="J610" s="1126"/>
      <c r="K610" s="1126"/>
      <c r="L610" s="1126"/>
      <c r="M610" s="1126"/>
      <c r="N610" s="1126"/>
      <c r="O610" s="1126"/>
      <c r="P610" s="1126"/>
      <c r="Q610" s="1126"/>
      <c r="R610" s="1126"/>
      <c r="S610" s="1126"/>
      <c r="T610" s="1126"/>
      <c r="U610" s="1126"/>
      <c r="V610" s="1126"/>
      <c r="W610" s="1126"/>
      <c r="X610" s="1126"/>
      <c r="Y610" s="1126"/>
      <c r="Z610" s="1126"/>
      <c r="AA610" s="1126"/>
    </row>
    <row r="611" ht="15.75" customHeight="1">
      <c r="A611" s="1126"/>
      <c r="B611" s="1126"/>
      <c r="C611" s="1126"/>
      <c r="D611" s="1126"/>
      <c r="E611" s="1126"/>
      <c r="F611" s="1126"/>
      <c r="G611" s="1126"/>
      <c r="H611" s="1126"/>
      <c r="I611" s="1126"/>
      <c r="J611" s="1126"/>
      <c r="K611" s="1126"/>
      <c r="L611" s="1126"/>
      <c r="M611" s="1126"/>
      <c r="N611" s="1126"/>
      <c r="O611" s="1126"/>
      <c r="P611" s="1126"/>
      <c r="Q611" s="1126"/>
      <c r="R611" s="1126"/>
      <c r="S611" s="1126"/>
      <c r="T611" s="1126"/>
      <c r="U611" s="1126"/>
      <c r="V611" s="1126"/>
      <c r="W611" s="1126"/>
      <c r="X611" s="1126"/>
      <c r="Y611" s="1126"/>
      <c r="Z611" s="1126"/>
      <c r="AA611" s="1126"/>
    </row>
    <row r="612" ht="15.75" customHeight="1">
      <c r="A612" s="1126"/>
      <c r="B612" s="1126"/>
      <c r="C612" s="1126"/>
      <c r="D612" s="1126"/>
      <c r="E612" s="1126"/>
      <c r="F612" s="1126"/>
      <c r="G612" s="1126"/>
      <c r="H612" s="1126"/>
      <c r="I612" s="1126"/>
      <c r="J612" s="1126"/>
      <c r="K612" s="1126"/>
      <c r="L612" s="1126"/>
      <c r="M612" s="1126"/>
      <c r="N612" s="1126"/>
      <c r="O612" s="1126"/>
      <c r="P612" s="1126"/>
      <c r="Q612" s="1126"/>
      <c r="R612" s="1126"/>
      <c r="S612" s="1126"/>
      <c r="T612" s="1126"/>
      <c r="U612" s="1126"/>
      <c r="V612" s="1126"/>
      <c r="W612" s="1126"/>
      <c r="X612" s="1126"/>
      <c r="Y612" s="1126"/>
      <c r="Z612" s="1126"/>
      <c r="AA612" s="1126"/>
    </row>
    <row r="613" ht="15.75" customHeight="1">
      <c r="A613" s="1126"/>
      <c r="B613" s="1126"/>
      <c r="C613" s="1126"/>
      <c r="D613" s="1126"/>
      <c r="E613" s="1126"/>
      <c r="F613" s="1126"/>
      <c r="G613" s="1126"/>
      <c r="H613" s="1126"/>
      <c r="I613" s="1126"/>
      <c r="J613" s="1126"/>
      <c r="K613" s="1126"/>
      <c r="L613" s="1126"/>
      <c r="M613" s="1126"/>
      <c r="N613" s="1126"/>
      <c r="O613" s="1126"/>
      <c r="P613" s="1126"/>
      <c r="Q613" s="1126"/>
      <c r="R613" s="1126"/>
      <c r="S613" s="1126"/>
      <c r="T613" s="1126"/>
      <c r="U613" s="1126"/>
      <c r="V613" s="1126"/>
      <c r="W613" s="1126"/>
      <c r="X613" s="1126"/>
      <c r="Y613" s="1126"/>
      <c r="Z613" s="1126"/>
      <c r="AA613" s="1126"/>
    </row>
    <row r="614" ht="15.75" customHeight="1">
      <c r="A614" s="1126"/>
      <c r="B614" s="1126"/>
      <c r="C614" s="1126"/>
      <c r="D614" s="1126"/>
      <c r="E614" s="1126"/>
      <c r="F614" s="1126"/>
      <c r="G614" s="1126"/>
      <c r="H614" s="1126"/>
      <c r="I614" s="1126"/>
      <c r="J614" s="1126"/>
      <c r="K614" s="1126"/>
      <c r="L614" s="1126"/>
      <c r="M614" s="1126"/>
      <c r="N614" s="1126"/>
      <c r="O614" s="1126"/>
      <c r="P614" s="1126"/>
      <c r="Q614" s="1126"/>
      <c r="R614" s="1126"/>
      <c r="S614" s="1126"/>
      <c r="T614" s="1126"/>
      <c r="U614" s="1126"/>
      <c r="V614" s="1126"/>
      <c r="W614" s="1126"/>
      <c r="X614" s="1126"/>
      <c r="Y614" s="1126"/>
      <c r="Z614" s="1126"/>
      <c r="AA614" s="1126"/>
    </row>
    <row r="615" ht="15.75" customHeight="1">
      <c r="A615" s="1126"/>
      <c r="B615" s="1126"/>
      <c r="C615" s="1126"/>
      <c r="D615" s="1126"/>
      <c r="E615" s="1126"/>
      <c r="F615" s="1126"/>
      <c r="G615" s="1126"/>
      <c r="H615" s="1126"/>
      <c r="I615" s="1126"/>
      <c r="J615" s="1126"/>
      <c r="K615" s="1126"/>
      <c r="L615" s="1126"/>
      <c r="M615" s="1126"/>
      <c r="N615" s="1126"/>
      <c r="O615" s="1126"/>
      <c r="P615" s="1126"/>
      <c r="Q615" s="1126"/>
      <c r="R615" s="1126"/>
      <c r="S615" s="1126"/>
      <c r="T615" s="1126"/>
      <c r="U615" s="1126"/>
      <c r="V615" s="1126"/>
      <c r="W615" s="1126"/>
      <c r="X615" s="1126"/>
      <c r="Y615" s="1126"/>
      <c r="Z615" s="1126"/>
      <c r="AA615" s="1126"/>
    </row>
    <row r="616" ht="15.75" customHeight="1">
      <c r="A616" s="1126"/>
      <c r="B616" s="1126"/>
      <c r="C616" s="1126"/>
      <c r="D616" s="1126"/>
      <c r="E616" s="1126"/>
      <c r="F616" s="1126"/>
      <c r="G616" s="1126"/>
      <c r="H616" s="1126"/>
      <c r="I616" s="1126"/>
      <c r="J616" s="1126"/>
      <c r="K616" s="1126"/>
      <c r="L616" s="1126"/>
      <c r="M616" s="1126"/>
      <c r="N616" s="1126"/>
      <c r="O616" s="1126"/>
      <c r="P616" s="1126"/>
      <c r="Q616" s="1126"/>
      <c r="R616" s="1126"/>
      <c r="S616" s="1126"/>
      <c r="T616" s="1126"/>
      <c r="U616" s="1126"/>
      <c r="V616" s="1126"/>
      <c r="W616" s="1126"/>
      <c r="X616" s="1126"/>
      <c r="Y616" s="1126"/>
      <c r="Z616" s="1126"/>
      <c r="AA616" s="1126"/>
    </row>
    <row r="617" ht="15.75" customHeight="1">
      <c r="A617" s="1126"/>
      <c r="B617" s="1126"/>
      <c r="C617" s="1126"/>
      <c r="D617" s="1126"/>
      <c r="E617" s="1126"/>
      <c r="F617" s="1126"/>
      <c r="G617" s="1126"/>
      <c r="H617" s="1126"/>
      <c r="I617" s="1126"/>
      <c r="J617" s="1126"/>
      <c r="K617" s="1126"/>
      <c r="L617" s="1126"/>
      <c r="M617" s="1126"/>
      <c r="N617" s="1126"/>
      <c r="O617" s="1126"/>
      <c r="P617" s="1126"/>
      <c r="Q617" s="1126"/>
      <c r="R617" s="1126"/>
      <c r="S617" s="1126"/>
      <c r="T617" s="1126"/>
      <c r="U617" s="1126"/>
      <c r="V617" s="1126"/>
      <c r="W617" s="1126"/>
      <c r="X617" s="1126"/>
      <c r="Y617" s="1126"/>
      <c r="Z617" s="1126"/>
      <c r="AA617" s="1126"/>
    </row>
    <row r="618" ht="15.75" customHeight="1">
      <c r="A618" s="1126"/>
      <c r="B618" s="1126"/>
      <c r="C618" s="1126"/>
      <c r="D618" s="1126"/>
      <c r="E618" s="1126"/>
      <c r="F618" s="1126"/>
      <c r="G618" s="1126"/>
      <c r="H618" s="1126"/>
      <c r="I618" s="1126"/>
      <c r="J618" s="1126"/>
      <c r="K618" s="1126"/>
      <c r="L618" s="1126"/>
      <c r="M618" s="1126"/>
      <c r="N618" s="1126"/>
      <c r="O618" s="1126"/>
      <c r="P618" s="1126"/>
      <c r="Q618" s="1126"/>
      <c r="R618" s="1126"/>
      <c r="S618" s="1126"/>
      <c r="T618" s="1126"/>
      <c r="U618" s="1126"/>
      <c r="V618" s="1126"/>
      <c r="W618" s="1126"/>
      <c r="X618" s="1126"/>
      <c r="Y618" s="1126"/>
      <c r="Z618" s="1126"/>
      <c r="AA618" s="1126"/>
    </row>
    <row r="619" ht="15.75" customHeight="1">
      <c r="A619" s="1126"/>
      <c r="B619" s="1126"/>
      <c r="C619" s="1126"/>
      <c r="D619" s="1126"/>
      <c r="E619" s="1126"/>
      <c r="F619" s="1126"/>
      <c r="G619" s="1126"/>
      <c r="H619" s="1126"/>
      <c r="I619" s="1126"/>
      <c r="J619" s="1126"/>
      <c r="K619" s="1126"/>
      <c r="L619" s="1126"/>
      <c r="M619" s="1126"/>
      <c r="N619" s="1126"/>
      <c r="O619" s="1126"/>
      <c r="P619" s="1126"/>
      <c r="Q619" s="1126"/>
      <c r="R619" s="1126"/>
      <c r="S619" s="1126"/>
      <c r="T619" s="1126"/>
      <c r="U619" s="1126"/>
      <c r="V619" s="1126"/>
      <c r="W619" s="1126"/>
      <c r="X619" s="1126"/>
      <c r="Y619" s="1126"/>
      <c r="Z619" s="1126"/>
      <c r="AA619" s="1126"/>
    </row>
    <row r="620" ht="15.75" customHeight="1">
      <c r="A620" s="1126"/>
      <c r="B620" s="1126"/>
      <c r="C620" s="1126"/>
      <c r="D620" s="1126"/>
      <c r="E620" s="1126"/>
      <c r="F620" s="1126"/>
      <c r="G620" s="1126"/>
      <c r="H620" s="1126"/>
      <c r="I620" s="1126"/>
      <c r="J620" s="1126"/>
      <c r="K620" s="1126"/>
      <c r="L620" s="1126"/>
      <c r="M620" s="1126"/>
      <c r="N620" s="1126"/>
      <c r="O620" s="1126"/>
      <c r="P620" s="1126"/>
      <c r="Q620" s="1126"/>
      <c r="R620" s="1126"/>
      <c r="S620" s="1126"/>
      <c r="T620" s="1126"/>
      <c r="U620" s="1126"/>
      <c r="V620" s="1126"/>
      <c r="W620" s="1126"/>
      <c r="X620" s="1126"/>
      <c r="Y620" s="1126"/>
      <c r="Z620" s="1126"/>
      <c r="AA620" s="1126"/>
    </row>
    <row r="621" ht="15.75" customHeight="1">
      <c r="A621" s="1126"/>
      <c r="B621" s="1126"/>
      <c r="C621" s="1126"/>
      <c r="D621" s="1126"/>
      <c r="E621" s="1126"/>
      <c r="F621" s="1126"/>
      <c r="G621" s="1126"/>
      <c r="H621" s="1126"/>
      <c r="I621" s="1126"/>
      <c r="J621" s="1126"/>
      <c r="K621" s="1126"/>
      <c r="L621" s="1126"/>
      <c r="M621" s="1126"/>
      <c r="N621" s="1126"/>
      <c r="O621" s="1126"/>
      <c r="P621" s="1126"/>
      <c r="Q621" s="1126"/>
      <c r="R621" s="1126"/>
      <c r="S621" s="1126"/>
      <c r="T621" s="1126"/>
      <c r="U621" s="1126"/>
      <c r="V621" s="1126"/>
      <c r="W621" s="1126"/>
      <c r="X621" s="1126"/>
      <c r="Y621" s="1126"/>
      <c r="Z621" s="1126"/>
      <c r="AA621" s="1126"/>
    </row>
    <row r="622" ht="15.75" customHeight="1">
      <c r="A622" s="1126"/>
      <c r="B622" s="1126"/>
      <c r="C622" s="1126"/>
      <c r="D622" s="1126"/>
      <c r="E622" s="1126"/>
      <c r="F622" s="1126"/>
      <c r="G622" s="1126"/>
      <c r="H622" s="1126"/>
      <c r="I622" s="1126"/>
      <c r="J622" s="1126"/>
      <c r="K622" s="1126"/>
      <c r="L622" s="1126"/>
      <c r="M622" s="1126"/>
      <c r="N622" s="1126"/>
      <c r="O622" s="1126"/>
      <c r="P622" s="1126"/>
      <c r="Q622" s="1126"/>
      <c r="R622" s="1126"/>
      <c r="S622" s="1126"/>
      <c r="T622" s="1126"/>
      <c r="U622" s="1126"/>
      <c r="V622" s="1126"/>
      <c r="W622" s="1126"/>
      <c r="X622" s="1126"/>
      <c r="Y622" s="1126"/>
      <c r="Z622" s="1126"/>
      <c r="AA622" s="1126"/>
    </row>
    <row r="623" ht="15.75" customHeight="1">
      <c r="A623" s="1126"/>
      <c r="B623" s="1126"/>
      <c r="C623" s="1126"/>
      <c r="D623" s="1126"/>
      <c r="E623" s="1126"/>
      <c r="F623" s="1126"/>
      <c r="G623" s="1126"/>
      <c r="H623" s="1126"/>
      <c r="I623" s="1126"/>
      <c r="J623" s="1126"/>
      <c r="K623" s="1126"/>
      <c r="L623" s="1126"/>
      <c r="M623" s="1126"/>
      <c r="N623" s="1126"/>
      <c r="O623" s="1126"/>
      <c r="P623" s="1126"/>
      <c r="Q623" s="1126"/>
      <c r="R623" s="1126"/>
      <c r="S623" s="1126"/>
      <c r="T623" s="1126"/>
      <c r="U623" s="1126"/>
      <c r="V623" s="1126"/>
      <c r="W623" s="1126"/>
      <c r="X623" s="1126"/>
      <c r="Y623" s="1126"/>
      <c r="Z623" s="1126"/>
      <c r="AA623" s="1126"/>
    </row>
    <row r="624" ht="15.75" customHeight="1">
      <c r="A624" s="1126"/>
      <c r="B624" s="1126"/>
      <c r="C624" s="1126"/>
      <c r="D624" s="1126"/>
      <c r="E624" s="1126"/>
      <c r="F624" s="1126"/>
      <c r="G624" s="1126"/>
      <c r="H624" s="1126"/>
      <c r="I624" s="1126"/>
      <c r="J624" s="1126"/>
      <c r="K624" s="1126"/>
      <c r="L624" s="1126"/>
      <c r="M624" s="1126"/>
      <c r="N624" s="1126"/>
      <c r="O624" s="1126"/>
      <c r="P624" s="1126"/>
      <c r="Q624" s="1126"/>
      <c r="R624" s="1126"/>
      <c r="S624" s="1126"/>
      <c r="T624" s="1126"/>
      <c r="U624" s="1126"/>
      <c r="V624" s="1126"/>
      <c r="W624" s="1126"/>
      <c r="X624" s="1126"/>
      <c r="Y624" s="1126"/>
      <c r="Z624" s="1126"/>
      <c r="AA624" s="1126"/>
    </row>
    <row r="625" ht="15.75" customHeight="1">
      <c r="A625" s="1126"/>
      <c r="B625" s="1126"/>
      <c r="C625" s="1126"/>
      <c r="D625" s="1126"/>
      <c r="E625" s="1126"/>
      <c r="F625" s="1126"/>
      <c r="G625" s="1126"/>
      <c r="H625" s="1126"/>
      <c r="I625" s="1126"/>
      <c r="J625" s="1126"/>
      <c r="K625" s="1126"/>
      <c r="L625" s="1126"/>
      <c r="M625" s="1126"/>
      <c r="N625" s="1126"/>
      <c r="O625" s="1126"/>
      <c r="P625" s="1126"/>
      <c r="Q625" s="1126"/>
      <c r="R625" s="1126"/>
      <c r="S625" s="1126"/>
      <c r="T625" s="1126"/>
      <c r="U625" s="1126"/>
      <c r="V625" s="1126"/>
      <c r="W625" s="1126"/>
      <c r="X625" s="1126"/>
      <c r="Y625" s="1126"/>
      <c r="Z625" s="1126"/>
      <c r="AA625" s="1126"/>
    </row>
    <row r="626" ht="15.75" customHeight="1">
      <c r="A626" s="1126"/>
      <c r="B626" s="1126"/>
      <c r="C626" s="1126"/>
      <c r="D626" s="1126"/>
      <c r="E626" s="1126"/>
      <c r="F626" s="1126"/>
      <c r="G626" s="1126"/>
      <c r="H626" s="1126"/>
      <c r="I626" s="1126"/>
      <c r="J626" s="1126"/>
      <c r="K626" s="1126"/>
      <c r="L626" s="1126"/>
      <c r="M626" s="1126"/>
      <c r="N626" s="1126"/>
      <c r="O626" s="1126"/>
      <c r="P626" s="1126"/>
      <c r="Q626" s="1126"/>
      <c r="R626" s="1126"/>
      <c r="S626" s="1126"/>
      <c r="T626" s="1126"/>
      <c r="U626" s="1126"/>
      <c r="V626" s="1126"/>
      <c r="W626" s="1126"/>
      <c r="X626" s="1126"/>
      <c r="Y626" s="1126"/>
      <c r="Z626" s="1126"/>
      <c r="AA626" s="1126"/>
    </row>
    <row r="627" ht="15.75" customHeight="1">
      <c r="A627" s="1126"/>
      <c r="B627" s="1126"/>
      <c r="C627" s="1126"/>
      <c r="D627" s="1126"/>
      <c r="E627" s="1126"/>
      <c r="F627" s="1126"/>
      <c r="G627" s="1126"/>
      <c r="H627" s="1126"/>
      <c r="I627" s="1126"/>
      <c r="J627" s="1126"/>
      <c r="K627" s="1126"/>
      <c r="L627" s="1126"/>
      <c r="M627" s="1126"/>
      <c r="N627" s="1126"/>
      <c r="O627" s="1126"/>
      <c r="P627" s="1126"/>
      <c r="Q627" s="1126"/>
      <c r="R627" s="1126"/>
      <c r="S627" s="1126"/>
      <c r="T627" s="1126"/>
      <c r="U627" s="1126"/>
      <c r="V627" s="1126"/>
      <c r="W627" s="1126"/>
      <c r="X627" s="1126"/>
      <c r="Y627" s="1126"/>
      <c r="Z627" s="1126"/>
      <c r="AA627" s="1126"/>
    </row>
    <row r="628" ht="15.75" customHeight="1">
      <c r="A628" s="1126"/>
      <c r="B628" s="1126"/>
      <c r="C628" s="1126"/>
      <c r="D628" s="1126"/>
      <c r="E628" s="1126"/>
      <c r="F628" s="1126"/>
      <c r="G628" s="1126"/>
      <c r="H628" s="1126"/>
      <c r="I628" s="1126"/>
      <c r="J628" s="1126"/>
      <c r="K628" s="1126"/>
      <c r="L628" s="1126"/>
      <c r="M628" s="1126"/>
      <c r="N628" s="1126"/>
      <c r="O628" s="1126"/>
      <c r="P628" s="1126"/>
      <c r="Q628" s="1126"/>
      <c r="R628" s="1126"/>
      <c r="S628" s="1126"/>
      <c r="T628" s="1126"/>
      <c r="U628" s="1126"/>
      <c r="V628" s="1126"/>
      <c r="W628" s="1126"/>
      <c r="X628" s="1126"/>
      <c r="Y628" s="1126"/>
      <c r="Z628" s="1126"/>
      <c r="AA628" s="1126"/>
    </row>
    <row r="629" ht="15.75" customHeight="1">
      <c r="A629" s="1126"/>
      <c r="B629" s="1126"/>
      <c r="C629" s="1126"/>
      <c r="D629" s="1126"/>
      <c r="E629" s="1126"/>
      <c r="F629" s="1126"/>
      <c r="G629" s="1126"/>
      <c r="H629" s="1126"/>
      <c r="I629" s="1126"/>
      <c r="J629" s="1126"/>
      <c r="K629" s="1126"/>
      <c r="L629" s="1126"/>
      <c r="M629" s="1126"/>
      <c r="N629" s="1126"/>
      <c r="O629" s="1126"/>
      <c r="P629" s="1126"/>
      <c r="Q629" s="1126"/>
      <c r="R629" s="1126"/>
      <c r="S629" s="1126"/>
      <c r="T629" s="1126"/>
      <c r="U629" s="1126"/>
      <c r="V629" s="1126"/>
      <c r="W629" s="1126"/>
      <c r="X629" s="1126"/>
      <c r="Y629" s="1126"/>
      <c r="Z629" s="1126"/>
      <c r="AA629" s="1126"/>
    </row>
    <row r="630" ht="15.75" customHeight="1">
      <c r="A630" s="1126"/>
      <c r="B630" s="1126"/>
      <c r="C630" s="1126"/>
      <c r="D630" s="1126"/>
      <c r="E630" s="1126"/>
      <c r="F630" s="1126"/>
      <c r="G630" s="1126"/>
      <c r="H630" s="1126"/>
      <c r="I630" s="1126"/>
      <c r="J630" s="1126"/>
      <c r="K630" s="1126"/>
      <c r="L630" s="1126"/>
      <c r="M630" s="1126"/>
      <c r="N630" s="1126"/>
      <c r="O630" s="1126"/>
      <c r="P630" s="1126"/>
      <c r="Q630" s="1126"/>
      <c r="R630" s="1126"/>
      <c r="S630" s="1126"/>
      <c r="T630" s="1126"/>
      <c r="U630" s="1126"/>
      <c r="V630" s="1126"/>
      <c r="W630" s="1126"/>
      <c r="X630" s="1126"/>
      <c r="Y630" s="1126"/>
      <c r="Z630" s="1126"/>
      <c r="AA630" s="1126"/>
    </row>
    <row r="631" ht="15.75" customHeight="1">
      <c r="A631" s="1126"/>
      <c r="B631" s="1126"/>
      <c r="C631" s="1126"/>
      <c r="D631" s="1126"/>
      <c r="E631" s="1126"/>
      <c r="F631" s="1126"/>
      <c r="G631" s="1126"/>
      <c r="H631" s="1126"/>
      <c r="I631" s="1126"/>
      <c r="J631" s="1126"/>
      <c r="K631" s="1126"/>
      <c r="L631" s="1126"/>
      <c r="M631" s="1126"/>
      <c r="N631" s="1126"/>
      <c r="O631" s="1126"/>
      <c r="P631" s="1126"/>
      <c r="Q631" s="1126"/>
      <c r="R631" s="1126"/>
      <c r="S631" s="1126"/>
      <c r="T631" s="1126"/>
      <c r="U631" s="1126"/>
      <c r="V631" s="1126"/>
      <c r="W631" s="1126"/>
      <c r="X631" s="1126"/>
      <c r="Y631" s="1126"/>
      <c r="Z631" s="1126"/>
      <c r="AA631" s="1126"/>
    </row>
    <row r="632" ht="15.75" customHeight="1">
      <c r="A632" s="1126"/>
      <c r="B632" s="1126"/>
      <c r="C632" s="1126"/>
      <c r="D632" s="1126"/>
      <c r="E632" s="1126"/>
      <c r="F632" s="1126"/>
      <c r="G632" s="1126"/>
      <c r="H632" s="1126"/>
      <c r="I632" s="1126"/>
      <c r="J632" s="1126"/>
      <c r="K632" s="1126"/>
      <c r="L632" s="1126"/>
      <c r="M632" s="1126"/>
      <c r="N632" s="1126"/>
      <c r="O632" s="1126"/>
      <c r="P632" s="1126"/>
      <c r="Q632" s="1126"/>
      <c r="R632" s="1126"/>
      <c r="S632" s="1126"/>
      <c r="T632" s="1126"/>
      <c r="U632" s="1126"/>
      <c r="V632" s="1126"/>
      <c r="W632" s="1126"/>
      <c r="X632" s="1126"/>
      <c r="Y632" s="1126"/>
      <c r="Z632" s="1126"/>
      <c r="AA632" s="1126"/>
    </row>
    <row r="633" ht="15.75" customHeight="1">
      <c r="A633" s="1126"/>
      <c r="B633" s="1126"/>
      <c r="C633" s="1126"/>
      <c r="D633" s="1126"/>
      <c r="E633" s="1126"/>
      <c r="F633" s="1126"/>
      <c r="G633" s="1126"/>
      <c r="H633" s="1126"/>
      <c r="I633" s="1126"/>
      <c r="J633" s="1126"/>
      <c r="K633" s="1126"/>
      <c r="L633" s="1126"/>
      <c r="M633" s="1126"/>
      <c r="N633" s="1126"/>
      <c r="O633" s="1126"/>
      <c r="P633" s="1126"/>
      <c r="Q633" s="1126"/>
      <c r="R633" s="1126"/>
      <c r="S633" s="1126"/>
      <c r="T633" s="1126"/>
      <c r="U633" s="1126"/>
      <c r="V633" s="1126"/>
      <c r="W633" s="1126"/>
      <c r="X633" s="1126"/>
      <c r="Y633" s="1126"/>
      <c r="Z633" s="1126"/>
      <c r="AA633" s="1126"/>
    </row>
    <row r="634" ht="15.75" customHeight="1">
      <c r="A634" s="1126"/>
      <c r="B634" s="1126"/>
      <c r="C634" s="1126"/>
      <c r="D634" s="1126"/>
      <c r="E634" s="1126"/>
      <c r="F634" s="1126"/>
      <c r="G634" s="1126"/>
      <c r="H634" s="1126"/>
      <c r="I634" s="1126"/>
      <c r="J634" s="1126"/>
      <c r="K634" s="1126"/>
      <c r="L634" s="1126"/>
      <c r="M634" s="1126"/>
      <c r="N634" s="1126"/>
      <c r="O634" s="1126"/>
      <c r="P634" s="1126"/>
      <c r="Q634" s="1126"/>
      <c r="R634" s="1126"/>
      <c r="S634" s="1126"/>
      <c r="T634" s="1126"/>
      <c r="U634" s="1126"/>
      <c r="V634" s="1126"/>
      <c r="W634" s="1126"/>
      <c r="X634" s="1126"/>
      <c r="Y634" s="1126"/>
      <c r="Z634" s="1126"/>
      <c r="AA634" s="1126"/>
    </row>
    <row r="635" ht="15.75" customHeight="1">
      <c r="A635" s="1126"/>
      <c r="B635" s="1126"/>
      <c r="C635" s="1126"/>
      <c r="D635" s="1126"/>
      <c r="E635" s="1126"/>
      <c r="F635" s="1126"/>
      <c r="G635" s="1126"/>
      <c r="H635" s="1126"/>
      <c r="I635" s="1126"/>
      <c r="J635" s="1126"/>
      <c r="K635" s="1126"/>
      <c r="L635" s="1126"/>
      <c r="M635" s="1126"/>
      <c r="N635" s="1126"/>
      <c r="O635" s="1126"/>
      <c r="P635" s="1126"/>
      <c r="Q635" s="1126"/>
      <c r="R635" s="1126"/>
      <c r="S635" s="1126"/>
      <c r="T635" s="1126"/>
      <c r="U635" s="1126"/>
      <c r="V635" s="1126"/>
      <c r="W635" s="1126"/>
      <c r="X635" s="1126"/>
      <c r="Y635" s="1126"/>
      <c r="Z635" s="1126"/>
      <c r="AA635" s="1126"/>
    </row>
    <row r="636" ht="15.75" customHeight="1">
      <c r="A636" s="1126"/>
      <c r="B636" s="1126"/>
      <c r="C636" s="1126"/>
      <c r="D636" s="1126"/>
      <c r="E636" s="1126"/>
      <c r="F636" s="1126"/>
      <c r="G636" s="1126"/>
      <c r="H636" s="1126"/>
      <c r="I636" s="1126"/>
      <c r="J636" s="1126"/>
      <c r="K636" s="1126"/>
      <c r="L636" s="1126"/>
      <c r="M636" s="1126"/>
      <c r="N636" s="1126"/>
      <c r="O636" s="1126"/>
      <c r="P636" s="1126"/>
      <c r="Q636" s="1126"/>
      <c r="R636" s="1126"/>
      <c r="S636" s="1126"/>
      <c r="T636" s="1126"/>
      <c r="U636" s="1126"/>
      <c r="V636" s="1126"/>
      <c r="W636" s="1126"/>
      <c r="X636" s="1126"/>
      <c r="Y636" s="1126"/>
      <c r="Z636" s="1126"/>
      <c r="AA636" s="1126"/>
    </row>
    <row r="637" ht="15.75" customHeight="1">
      <c r="A637" s="1126"/>
      <c r="B637" s="1126"/>
      <c r="C637" s="1126"/>
      <c r="D637" s="1126"/>
      <c r="E637" s="1126"/>
      <c r="F637" s="1126"/>
      <c r="G637" s="1126"/>
      <c r="H637" s="1126"/>
      <c r="I637" s="1126"/>
      <c r="J637" s="1126"/>
      <c r="K637" s="1126"/>
      <c r="L637" s="1126"/>
      <c r="M637" s="1126"/>
      <c r="N637" s="1126"/>
      <c r="O637" s="1126"/>
      <c r="P637" s="1126"/>
      <c r="Q637" s="1126"/>
      <c r="R637" s="1126"/>
      <c r="S637" s="1126"/>
      <c r="T637" s="1126"/>
      <c r="U637" s="1126"/>
      <c r="V637" s="1126"/>
      <c r="W637" s="1126"/>
      <c r="X637" s="1126"/>
      <c r="Y637" s="1126"/>
      <c r="Z637" s="1126"/>
      <c r="AA637" s="1126"/>
    </row>
    <row r="638" ht="15.75" customHeight="1">
      <c r="A638" s="1126"/>
      <c r="B638" s="1126"/>
      <c r="C638" s="1126"/>
      <c r="D638" s="1126"/>
      <c r="E638" s="1126"/>
      <c r="F638" s="1126"/>
      <c r="G638" s="1126"/>
      <c r="H638" s="1126"/>
      <c r="I638" s="1126"/>
      <c r="J638" s="1126"/>
      <c r="K638" s="1126"/>
      <c r="L638" s="1126"/>
      <c r="M638" s="1126"/>
      <c r="N638" s="1126"/>
      <c r="O638" s="1126"/>
      <c r="P638" s="1126"/>
      <c r="Q638" s="1126"/>
      <c r="R638" s="1126"/>
      <c r="S638" s="1126"/>
      <c r="T638" s="1126"/>
      <c r="U638" s="1126"/>
      <c r="V638" s="1126"/>
      <c r="W638" s="1126"/>
      <c r="X638" s="1126"/>
      <c r="Y638" s="1126"/>
      <c r="Z638" s="1126"/>
      <c r="AA638" s="1126"/>
    </row>
    <row r="639" ht="15.75" customHeight="1">
      <c r="A639" s="1126"/>
      <c r="B639" s="1126"/>
      <c r="C639" s="1126"/>
      <c r="D639" s="1126"/>
      <c r="E639" s="1126"/>
      <c r="F639" s="1126"/>
      <c r="G639" s="1126"/>
      <c r="H639" s="1126"/>
      <c r="I639" s="1126"/>
      <c r="J639" s="1126"/>
      <c r="K639" s="1126"/>
      <c r="L639" s="1126"/>
      <c r="M639" s="1126"/>
      <c r="N639" s="1126"/>
      <c r="O639" s="1126"/>
      <c r="P639" s="1126"/>
      <c r="Q639" s="1126"/>
      <c r="R639" s="1126"/>
      <c r="S639" s="1126"/>
      <c r="T639" s="1126"/>
      <c r="U639" s="1126"/>
      <c r="V639" s="1126"/>
      <c r="W639" s="1126"/>
      <c r="X639" s="1126"/>
      <c r="Y639" s="1126"/>
      <c r="Z639" s="1126"/>
      <c r="AA639" s="1126"/>
    </row>
    <row r="640" ht="15.75" customHeight="1">
      <c r="A640" s="1126"/>
      <c r="B640" s="1126"/>
      <c r="C640" s="1126"/>
      <c r="D640" s="1126"/>
      <c r="E640" s="1126"/>
      <c r="F640" s="1126"/>
      <c r="G640" s="1126"/>
      <c r="H640" s="1126"/>
      <c r="I640" s="1126"/>
      <c r="J640" s="1126"/>
      <c r="K640" s="1126"/>
      <c r="L640" s="1126"/>
      <c r="M640" s="1126"/>
      <c r="N640" s="1126"/>
      <c r="O640" s="1126"/>
      <c r="P640" s="1126"/>
      <c r="Q640" s="1126"/>
      <c r="R640" s="1126"/>
      <c r="S640" s="1126"/>
      <c r="T640" s="1126"/>
      <c r="U640" s="1126"/>
      <c r="V640" s="1126"/>
      <c r="W640" s="1126"/>
      <c r="X640" s="1126"/>
      <c r="Y640" s="1126"/>
      <c r="Z640" s="1126"/>
      <c r="AA640" s="1126"/>
    </row>
    <row r="641" ht="15.75" customHeight="1">
      <c r="A641" s="1126"/>
      <c r="B641" s="1126"/>
      <c r="C641" s="1126"/>
      <c r="D641" s="1126"/>
      <c r="E641" s="1126"/>
      <c r="F641" s="1126"/>
      <c r="G641" s="1126"/>
      <c r="H641" s="1126"/>
      <c r="I641" s="1126"/>
      <c r="J641" s="1126"/>
      <c r="K641" s="1126"/>
      <c r="L641" s="1126"/>
      <c r="M641" s="1126"/>
      <c r="N641" s="1126"/>
      <c r="O641" s="1126"/>
      <c r="P641" s="1126"/>
      <c r="Q641" s="1126"/>
      <c r="R641" s="1126"/>
      <c r="S641" s="1126"/>
      <c r="T641" s="1126"/>
      <c r="U641" s="1126"/>
      <c r="V641" s="1126"/>
      <c r="W641" s="1126"/>
      <c r="X641" s="1126"/>
      <c r="Y641" s="1126"/>
      <c r="Z641" s="1126"/>
      <c r="AA641" s="1126"/>
    </row>
    <row r="642" ht="15.75" customHeight="1">
      <c r="A642" s="1126"/>
      <c r="B642" s="1126"/>
      <c r="C642" s="1126"/>
      <c r="D642" s="1126"/>
      <c r="E642" s="1126"/>
      <c r="F642" s="1126"/>
      <c r="G642" s="1126"/>
      <c r="H642" s="1126"/>
      <c r="I642" s="1126"/>
      <c r="J642" s="1126"/>
      <c r="K642" s="1126"/>
      <c r="L642" s="1126"/>
      <c r="M642" s="1126"/>
      <c r="N642" s="1126"/>
      <c r="O642" s="1126"/>
      <c r="P642" s="1126"/>
      <c r="Q642" s="1126"/>
      <c r="R642" s="1126"/>
      <c r="S642" s="1126"/>
      <c r="T642" s="1126"/>
      <c r="U642" s="1126"/>
      <c r="V642" s="1126"/>
      <c r="W642" s="1126"/>
      <c r="X642" s="1126"/>
      <c r="Y642" s="1126"/>
      <c r="Z642" s="1126"/>
      <c r="AA642" s="1126"/>
    </row>
    <row r="643" ht="15.75" customHeight="1">
      <c r="A643" s="1126"/>
      <c r="B643" s="1126"/>
      <c r="C643" s="1126"/>
      <c r="D643" s="1126"/>
      <c r="E643" s="1126"/>
      <c r="F643" s="1126"/>
      <c r="G643" s="1126"/>
      <c r="H643" s="1126"/>
      <c r="I643" s="1126"/>
      <c r="J643" s="1126"/>
      <c r="K643" s="1126"/>
      <c r="L643" s="1126"/>
      <c r="M643" s="1126"/>
      <c r="N643" s="1126"/>
      <c r="O643" s="1126"/>
      <c r="P643" s="1126"/>
      <c r="Q643" s="1126"/>
      <c r="R643" s="1126"/>
      <c r="S643" s="1126"/>
      <c r="T643" s="1126"/>
      <c r="U643" s="1126"/>
      <c r="V643" s="1126"/>
      <c r="W643" s="1126"/>
      <c r="X643" s="1126"/>
      <c r="Y643" s="1126"/>
      <c r="Z643" s="1126"/>
      <c r="AA643" s="1126"/>
    </row>
    <row r="644" ht="15.75" customHeight="1">
      <c r="A644" s="1126"/>
      <c r="B644" s="1126"/>
      <c r="C644" s="1126"/>
      <c r="D644" s="1126"/>
      <c r="E644" s="1126"/>
      <c r="F644" s="1126"/>
      <c r="G644" s="1126"/>
      <c r="H644" s="1126"/>
      <c r="I644" s="1126"/>
      <c r="J644" s="1126"/>
      <c r="K644" s="1126"/>
      <c r="L644" s="1126"/>
      <c r="M644" s="1126"/>
      <c r="N644" s="1126"/>
      <c r="O644" s="1126"/>
      <c r="P644" s="1126"/>
      <c r="Q644" s="1126"/>
      <c r="R644" s="1126"/>
      <c r="S644" s="1126"/>
      <c r="T644" s="1126"/>
      <c r="U644" s="1126"/>
      <c r="V644" s="1126"/>
      <c r="W644" s="1126"/>
      <c r="X644" s="1126"/>
      <c r="Y644" s="1126"/>
      <c r="Z644" s="1126"/>
      <c r="AA644" s="1126"/>
    </row>
    <row r="645" ht="15.75" customHeight="1">
      <c r="A645" s="1126"/>
      <c r="B645" s="1126"/>
      <c r="C645" s="1126"/>
      <c r="D645" s="1126"/>
      <c r="E645" s="1126"/>
      <c r="F645" s="1126"/>
      <c r="G645" s="1126"/>
      <c r="H645" s="1126"/>
      <c r="I645" s="1126"/>
      <c r="J645" s="1126"/>
      <c r="K645" s="1126"/>
      <c r="L645" s="1126"/>
      <c r="M645" s="1126"/>
      <c r="N645" s="1126"/>
      <c r="O645" s="1126"/>
      <c r="P645" s="1126"/>
      <c r="Q645" s="1126"/>
      <c r="R645" s="1126"/>
      <c r="S645" s="1126"/>
      <c r="T645" s="1126"/>
      <c r="U645" s="1126"/>
      <c r="V645" s="1126"/>
      <c r="W645" s="1126"/>
      <c r="X645" s="1126"/>
      <c r="Y645" s="1126"/>
      <c r="Z645" s="1126"/>
      <c r="AA645" s="1126"/>
    </row>
    <row r="646" ht="15.75" customHeight="1">
      <c r="A646" s="1126"/>
      <c r="B646" s="1126"/>
      <c r="C646" s="1126"/>
      <c r="D646" s="1126"/>
      <c r="E646" s="1126"/>
      <c r="F646" s="1126"/>
      <c r="G646" s="1126"/>
      <c r="H646" s="1126"/>
      <c r="I646" s="1126"/>
      <c r="J646" s="1126"/>
      <c r="K646" s="1126"/>
      <c r="L646" s="1126"/>
      <c r="M646" s="1126"/>
      <c r="N646" s="1126"/>
      <c r="O646" s="1126"/>
      <c r="P646" s="1126"/>
      <c r="Q646" s="1126"/>
      <c r="R646" s="1126"/>
      <c r="S646" s="1126"/>
      <c r="T646" s="1126"/>
      <c r="U646" s="1126"/>
      <c r="V646" s="1126"/>
      <c r="W646" s="1126"/>
      <c r="X646" s="1126"/>
      <c r="Y646" s="1126"/>
      <c r="Z646" s="1126"/>
      <c r="AA646" s="1126"/>
    </row>
    <row r="647" ht="15.75" customHeight="1">
      <c r="A647" s="1126"/>
      <c r="B647" s="1126"/>
      <c r="C647" s="1126"/>
      <c r="D647" s="1126"/>
      <c r="E647" s="1126"/>
      <c r="F647" s="1126"/>
      <c r="G647" s="1126"/>
      <c r="H647" s="1126"/>
      <c r="I647" s="1126"/>
      <c r="J647" s="1126"/>
      <c r="K647" s="1126"/>
      <c r="L647" s="1126"/>
      <c r="M647" s="1126"/>
      <c r="N647" s="1126"/>
      <c r="O647" s="1126"/>
      <c r="P647" s="1126"/>
      <c r="Q647" s="1126"/>
      <c r="R647" s="1126"/>
      <c r="S647" s="1126"/>
      <c r="T647" s="1126"/>
      <c r="U647" s="1126"/>
      <c r="V647" s="1126"/>
      <c r="W647" s="1126"/>
      <c r="X647" s="1126"/>
      <c r="Y647" s="1126"/>
      <c r="Z647" s="1126"/>
      <c r="AA647" s="1126"/>
    </row>
    <row r="648" ht="15.75" customHeight="1">
      <c r="A648" s="1126"/>
      <c r="B648" s="1126"/>
      <c r="C648" s="1126"/>
      <c r="D648" s="1126"/>
      <c r="E648" s="1126"/>
      <c r="F648" s="1126"/>
      <c r="G648" s="1126"/>
      <c r="H648" s="1126"/>
      <c r="I648" s="1126"/>
      <c r="J648" s="1126"/>
      <c r="K648" s="1126"/>
      <c r="L648" s="1126"/>
      <c r="M648" s="1126"/>
      <c r="N648" s="1126"/>
      <c r="O648" s="1126"/>
      <c r="P648" s="1126"/>
      <c r="Q648" s="1126"/>
      <c r="R648" s="1126"/>
      <c r="S648" s="1126"/>
      <c r="T648" s="1126"/>
      <c r="U648" s="1126"/>
      <c r="V648" s="1126"/>
      <c r="W648" s="1126"/>
      <c r="X648" s="1126"/>
      <c r="Y648" s="1126"/>
      <c r="Z648" s="1126"/>
      <c r="AA648" s="1126"/>
    </row>
    <row r="649" ht="15.75" customHeight="1">
      <c r="A649" s="1126"/>
      <c r="B649" s="1126"/>
      <c r="C649" s="1126"/>
      <c r="D649" s="1126"/>
      <c r="E649" s="1126"/>
      <c r="F649" s="1126"/>
      <c r="G649" s="1126"/>
      <c r="H649" s="1126"/>
      <c r="I649" s="1126"/>
      <c r="J649" s="1126"/>
      <c r="K649" s="1126"/>
      <c r="L649" s="1126"/>
      <c r="M649" s="1126"/>
      <c r="N649" s="1126"/>
      <c r="O649" s="1126"/>
      <c r="P649" s="1126"/>
      <c r="Q649" s="1126"/>
      <c r="R649" s="1126"/>
      <c r="S649" s="1126"/>
      <c r="T649" s="1126"/>
      <c r="U649" s="1126"/>
      <c r="V649" s="1126"/>
      <c r="W649" s="1126"/>
      <c r="X649" s="1126"/>
      <c r="Y649" s="1126"/>
      <c r="Z649" s="1126"/>
      <c r="AA649" s="1126"/>
    </row>
    <row r="650" ht="15.75" customHeight="1">
      <c r="A650" s="1126"/>
      <c r="B650" s="1126"/>
      <c r="C650" s="1126"/>
      <c r="D650" s="1126"/>
      <c r="E650" s="1126"/>
      <c r="F650" s="1126"/>
      <c r="G650" s="1126"/>
      <c r="H650" s="1126"/>
      <c r="I650" s="1126"/>
      <c r="J650" s="1126"/>
      <c r="K650" s="1126"/>
      <c r="L650" s="1126"/>
      <c r="M650" s="1126"/>
      <c r="N650" s="1126"/>
      <c r="O650" s="1126"/>
      <c r="P650" s="1126"/>
      <c r="Q650" s="1126"/>
      <c r="R650" s="1126"/>
      <c r="S650" s="1126"/>
      <c r="T650" s="1126"/>
      <c r="U650" s="1126"/>
      <c r="V650" s="1126"/>
      <c r="W650" s="1126"/>
      <c r="X650" s="1126"/>
      <c r="Y650" s="1126"/>
      <c r="Z650" s="1126"/>
      <c r="AA650" s="1126"/>
    </row>
    <row r="651" ht="15.75" customHeight="1">
      <c r="A651" s="1126"/>
      <c r="B651" s="1126"/>
      <c r="C651" s="1126"/>
      <c r="D651" s="1126"/>
      <c r="E651" s="1126"/>
      <c r="F651" s="1126"/>
      <c r="G651" s="1126"/>
      <c r="H651" s="1126"/>
      <c r="I651" s="1126"/>
      <c r="J651" s="1126"/>
      <c r="K651" s="1126"/>
      <c r="L651" s="1126"/>
      <c r="M651" s="1126"/>
      <c r="N651" s="1126"/>
      <c r="O651" s="1126"/>
      <c r="P651" s="1126"/>
      <c r="Q651" s="1126"/>
      <c r="R651" s="1126"/>
      <c r="S651" s="1126"/>
      <c r="T651" s="1126"/>
      <c r="U651" s="1126"/>
      <c r="V651" s="1126"/>
      <c r="W651" s="1126"/>
      <c r="X651" s="1126"/>
      <c r="Y651" s="1126"/>
      <c r="Z651" s="1126"/>
      <c r="AA651" s="1126"/>
    </row>
    <row r="652" ht="15.75" customHeight="1">
      <c r="A652" s="1126"/>
      <c r="B652" s="1126"/>
      <c r="C652" s="1126"/>
      <c r="D652" s="1126"/>
      <c r="E652" s="1126"/>
      <c r="F652" s="1126"/>
      <c r="G652" s="1126"/>
      <c r="H652" s="1126"/>
      <c r="I652" s="1126"/>
      <c r="J652" s="1126"/>
      <c r="K652" s="1126"/>
      <c r="L652" s="1126"/>
      <c r="M652" s="1126"/>
      <c r="N652" s="1126"/>
      <c r="O652" s="1126"/>
      <c r="P652" s="1126"/>
      <c r="Q652" s="1126"/>
      <c r="R652" s="1126"/>
      <c r="S652" s="1126"/>
      <c r="T652" s="1126"/>
      <c r="U652" s="1126"/>
      <c r="V652" s="1126"/>
      <c r="W652" s="1126"/>
      <c r="X652" s="1126"/>
      <c r="Y652" s="1126"/>
      <c r="Z652" s="1126"/>
      <c r="AA652" s="1126"/>
    </row>
    <row r="653" ht="15.75" customHeight="1">
      <c r="A653" s="1126"/>
      <c r="B653" s="1126"/>
      <c r="C653" s="1126"/>
      <c r="D653" s="1126"/>
      <c r="E653" s="1126"/>
      <c r="F653" s="1126"/>
      <c r="G653" s="1126"/>
      <c r="H653" s="1126"/>
      <c r="I653" s="1126"/>
      <c r="J653" s="1126"/>
      <c r="K653" s="1126"/>
      <c r="L653" s="1126"/>
      <c r="M653" s="1126"/>
      <c r="N653" s="1126"/>
      <c r="O653" s="1126"/>
      <c r="P653" s="1126"/>
      <c r="Q653" s="1126"/>
      <c r="R653" s="1126"/>
      <c r="S653" s="1126"/>
      <c r="T653" s="1126"/>
      <c r="U653" s="1126"/>
      <c r="V653" s="1126"/>
      <c r="W653" s="1126"/>
      <c r="X653" s="1126"/>
      <c r="Y653" s="1126"/>
      <c r="Z653" s="1126"/>
      <c r="AA653" s="1126"/>
    </row>
    <row r="654" ht="15.75" customHeight="1">
      <c r="A654" s="1126"/>
      <c r="B654" s="1126"/>
      <c r="C654" s="1126"/>
      <c r="D654" s="1126"/>
      <c r="E654" s="1126"/>
      <c r="F654" s="1126"/>
      <c r="G654" s="1126"/>
      <c r="H654" s="1126"/>
      <c r="I654" s="1126"/>
      <c r="J654" s="1126"/>
      <c r="K654" s="1126"/>
      <c r="L654" s="1126"/>
      <c r="M654" s="1126"/>
      <c r="N654" s="1126"/>
      <c r="O654" s="1126"/>
      <c r="P654" s="1126"/>
      <c r="Q654" s="1126"/>
      <c r="R654" s="1126"/>
      <c r="S654" s="1126"/>
      <c r="T654" s="1126"/>
      <c r="U654" s="1126"/>
      <c r="V654" s="1126"/>
      <c r="W654" s="1126"/>
      <c r="X654" s="1126"/>
      <c r="Y654" s="1126"/>
      <c r="Z654" s="1126"/>
      <c r="AA654" s="1126"/>
    </row>
    <row r="655" ht="15.75" customHeight="1">
      <c r="A655" s="1126"/>
      <c r="B655" s="1126"/>
      <c r="C655" s="1126"/>
      <c r="D655" s="1126"/>
      <c r="E655" s="1126"/>
      <c r="F655" s="1126"/>
      <c r="G655" s="1126"/>
      <c r="H655" s="1126"/>
      <c r="I655" s="1126"/>
      <c r="J655" s="1126"/>
      <c r="K655" s="1126"/>
      <c r="L655" s="1126"/>
      <c r="M655" s="1126"/>
      <c r="N655" s="1126"/>
      <c r="O655" s="1126"/>
      <c r="P655" s="1126"/>
      <c r="Q655" s="1126"/>
      <c r="R655" s="1126"/>
      <c r="S655" s="1126"/>
      <c r="T655" s="1126"/>
      <c r="U655" s="1126"/>
      <c r="V655" s="1126"/>
      <c r="W655" s="1126"/>
      <c r="X655" s="1126"/>
      <c r="Y655" s="1126"/>
      <c r="Z655" s="1126"/>
      <c r="AA655" s="1126"/>
    </row>
    <row r="656" ht="15.75" customHeight="1">
      <c r="A656" s="1126"/>
      <c r="B656" s="1126"/>
      <c r="C656" s="1126"/>
      <c r="D656" s="1126"/>
      <c r="E656" s="1126"/>
      <c r="F656" s="1126"/>
      <c r="G656" s="1126"/>
      <c r="H656" s="1126"/>
      <c r="I656" s="1126"/>
      <c r="J656" s="1126"/>
      <c r="K656" s="1126"/>
      <c r="L656" s="1126"/>
      <c r="M656" s="1126"/>
      <c r="N656" s="1126"/>
      <c r="O656" s="1126"/>
      <c r="P656" s="1126"/>
      <c r="Q656" s="1126"/>
      <c r="R656" s="1126"/>
      <c r="S656" s="1126"/>
      <c r="T656" s="1126"/>
      <c r="U656" s="1126"/>
      <c r="V656" s="1126"/>
      <c r="W656" s="1126"/>
      <c r="X656" s="1126"/>
      <c r="Y656" s="1126"/>
      <c r="Z656" s="1126"/>
      <c r="AA656" s="1126"/>
    </row>
    <row r="657" ht="15.75" customHeight="1">
      <c r="A657" s="1126"/>
      <c r="B657" s="1126"/>
      <c r="C657" s="1126"/>
      <c r="D657" s="1126"/>
      <c r="E657" s="1126"/>
      <c r="F657" s="1126"/>
      <c r="G657" s="1126"/>
      <c r="H657" s="1126"/>
      <c r="I657" s="1126"/>
      <c r="J657" s="1126"/>
      <c r="K657" s="1126"/>
      <c r="L657" s="1126"/>
      <c r="M657" s="1126"/>
      <c r="N657" s="1126"/>
      <c r="O657" s="1126"/>
      <c r="P657" s="1126"/>
      <c r="Q657" s="1126"/>
      <c r="R657" s="1126"/>
      <c r="S657" s="1126"/>
      <c r="T657" s="1126"/>
      <c r="U657" s="1126"/>
      <c r="V657" s="1126"/>
      <c r="W657" s="1126"/>
      <c r="X657" s="1126"/>
      <c r="Y657" s="1126"/>
      <c r="Z657" s="1126"/>
      <c r="AA657" s="1126"/>
    </row>
    <row r="658" ht="15.75" customHeight="1">
      <c r="A658" s="1126"/>
      <c r="B658" s="1126"/>
      <c r="C658" s="1126"/>
      <c r="D658" s="1126"/>
      <c r="E658" s="1126"/>
      <c r="F658" s="1126"/>
      <c r="G658" s="1126"/>
      <c r="H658" s="1126"/>
      <c r="I658" s="1126"/>
      <c r="J658" s="1126"/>
      <c r="K658" s="1126"/>
      <c r="L658" s="1126"/>
      <c r="M658" s="1126"/>
      <c r="N658" s="1126"/>
      <c r="O658" s="1126"/>
      <c r="P658" s="1126"/>
      <c r="Q658" s="1126"/>
      <c r="R658" s="1126"/>
      <c r="S658" s="1126"/>
      <c r="T658" s="1126"/>
      <c r="U658" s="1126"/>
      <c r="V658" s="1126"/>
      <c r="W658" s="1126"/>
      <c r="X658" s="1126"/>
      <c r="Y658" s="1126"/>
      <c r="Z658" s="1126"/>
      <c r="AA658" s="1126"/>
    </row>
    <row r="659" ht="15.75" customHeight="1">
      <c r="A659" s="1126"/>
      <c r="B659" s="1126"/>
      <c r="C659" s="1126"/>
      <c r="D659" s="1126"/>
      <c r="E659" s="1126"/>
      <c r="F659" s="1126"/>
      <c r="G659" s="1126"/>
      <c r="H659" s="1126"/>
      <c r="I659" s="1126"/>
      <c r="J659" s="1126"/>
      <c r="K659" s="1126"/>
      <c r="L659" s="1126"/>
      <c r="M659" s="1126"/>
      <c r="N659" s="1126"/>
      <c r="O659" s="1126"/>
      <c r="P659" s="1126"/>
      <c r="Q659" s="1126"/>
      <c r="R659" s="1126"/>
      <c r="S659" s="1126"/>
      <c r="T659" s="1126"/>
      <c r="U659" s="1126"/>
      <c r="V659" s="1126"/>
      <c r="W659" s="1126"/>
      <c r="X659" s="1126"/>
      <c r="Y659" s="1126"/>
      <c r="Z659" s="1126"/>
      <c r="AA659" s="1126"/>
    </row>
    <row r="660" ht="15.75" customHeight="1">
      <c r="A660" s="1126"/>
      <c r="B660" s="1126"/>
      <c r="C660" s="1126"/>
      <c r="D660" s="1126"/>
      <c r="E660" s="1126"/>
      <c r="F660" s="1126"/>
      <c r="G660" s="1126"/>
      <c r="H660" s="1126"/>
      <c r="I660" s="1126"/>
      <c r="J660" s="1126"/>
      <c r="K660" s="1126"/>
      <c r="L660" s="1126"/>
      <c r="M660" s="1126"/>
      <c r="N660" s="1126"/>
      <c r="O660" s="1126"/>
      <c r="P660" s="1126"/>
      <c r="Q660" s="1126"/>
      <c r="R660" s="1126"/>
      <c r="S660" s="1126"/>
      <c r="T660" s="1126"/>
      <c r="U660" s="1126"/>
      <c r="V660" s="1126"/>
      <c r="W660" s="1126"/>
      <c r="X660" s="1126"/>
      <c r="Y660" s="1126"/>
      <c r="Z660" s="1126"/>
      <c r="AA660" s="1126"/>
    </row>
    <row r="661" ht="15.75" customHeight="1">
      <c r="A661" s="1126"/>
      <c r="B661" s="1126"/>
      <c r="C661" s="1126"/>
      <c r="D661" s="1126"/>
      <c r="E661" s="1126"/>
      <c r="F661" s="1126"/>
      <c r="G661" s="1126"/>
      <c r="H661" s="1126"/>
      <c r="I661" s="1126"/>
      <c r="J661" s="1126"/>
      <c r="K661" s="1126"/>
      <c r="L661" s="1126"/>
      <c r="M661" s="1126"/>
      <c r="N661" s="1126"/>
      <c r="O661" s="1126"/>
      <c r="P661" s="1126"/>
      <c r="Q661" s="1126"/>
      <c r="R661" s="1126"/>
      <c r="S661" s="1126"/>
      <c r="T661" s="1126"/>
      <c r="U661" s="1126"/>
      <c r="V661" s="1126"/>
      <c r="W661" s="1126"/>
      <c r="X661" s="1126"/>
      <c r="Y661" s="1126"/>
      <c r="Z661" s="1126"/>
      <c r="AA661" s="1126"/>
    </row>
    <row r="662" ht="15.75" customHeight="1">
      <c r="A662" s="1126"/>
      <c r="B662" s="1126"/>
      <c r="C662" s="1126"/>
      <c r="D662" s="1126"/>
      <c r="E662" s="1126"/>
      <c r="F662" s="1126"/>
      <c r="G662" s="1126"/>
      <c r="H662" s="1126"/>
      <c r="I662" s="1126"/>
      <c r="J662" s="1126"/>
      <c r="K662" s="1126"/>
      <c r="L662" s="1126"/>
      <c r="M662" s="1126"/>
      <c r="N662" s="1126"/>
      <c r="O662" s="1126"/>
      <c r="P662" s="1126"/>
      <c r="Q662" s="1126"/>
      <c r="R662" s="1126"/>
      <c r="S662" s="1126"/>
      <c r="T662" s="1126"/>
      <c r="U662" s="1126"/>
      <c r="V662" s="1126"/>
      <c r="W662" s="1126"/>
      <c r="X662" s="1126"/>
      <c r="Y662" s="1126"/>
      <c r="Z662" s="1126"/>
      <c r="AA662" s="1126"/>
    </row>
    <row r="663" ht="15.75" customHeight="1">
      <c r="A663" s="1126"/>
      <c r="B663" s="1126"/>
      <c r="C663" s="1126"/>
      <c r="D663" s="1126"/>
      <c r="E663" s="1126"/>
      <c r="F663" s="1126"/>
      <c r="G663" s="1126"/>
      <c r="H663" s="1126"/>
      <c r="I663" s="1126"/>
      <c r="J663" s="1126"/>
      <c r="K663" s="1126"/>
      <c r="L663" s="1126"/>
      <c r="M663" s="1126"/>
      <c r="N663" s="1126"/>
      <c r="O663" s="1126"/>
      <c r="P663" s="1126"/>
      <c r="Q663" s="1126"/>
      <c r="R663" s="1126"/>
      <c r="S663" s="1126"/>
      <c r="T663" s="1126"/>
      <c r="U663" s="1126"/>
      <c r="V663" s="1126"/>
      <c r="W663" s="1126"/>
      <c r="X663" s="1126"/>
      <c r="Y663" s="1126"/>
      <c r="Z663" s="1126"/>
      <c r="AA663" s="1126"/>
    </row>
    <row r="664" ht="15.75" customHeight="1">
      <c r="A664" s="1126"/>
      <c r="B664" s="1126"/>
      <c r="C664" s="1126"/>
      <c r="D664" s="1126"/>
      <c r="E664" s="1126"/>
      <c r="F664" s="1126"/>
      <c r="G664" s="1126"/>
      <c r="H664" s="1126"/>
      <c r="I664" s="1126"/>
      <c r="J664" s="1126"/>
      <c r="K664" s="1126"/>
      <c r="L664" s="1126"/>
      <c r="M664" s="1126"/>
      <c r="N664" s="1126"/>
      <c r="O664" s="1126"/>
      <c r="P664" s="1126"/>
      <c r="Q664" s="1126"/>
      <c r="R664" s="1126"/>
      <c r="S664" s="1126"/>
      <c r="T664" s="1126"/>
      <c r="U664" s="1126"/>
      <c r="V664" s="1126"/>
      <c r="W664" s="1126"/>
      <c r="X664" s="1126"/>
      <c r="Y664" s="1126"/>
      <c r="Z664" s="1126"/>
      <c r="AA664" s="1126"/>
    </row>
    <row r="665" ht="15.75" customHeight="1">
      <c r="A665" s="1126"/>
      <c r="B665" s="1126"/>
      <c r="C665" s="1126"/>
      <c r="D665" s="1126"/>
      <c r="E665" s="1126"/>
      <c r="F665" s="1126"/>
      <c r="G665" s="1126"/>
      <c r="H665" s="1126"/>
      <c r="I665" s="1126"/>
      <c r="J665" s="1126"/>
      <c r="K665" s="1126"/>
      <c r="L665" s="1126"/>
      <c r="M665" s="1126"/>
      <c r="N665" s="1126"/>
      <c r="O665" s="1126"/>
      <c r="P665" s="1126"/>
      <c r="Q665" s="1126"/>
      <c r="R665" s="1126"/>
      <c r="S665" s="1126"/>
      <c r="T665" s="1126"/>
      <c r="U665" s="1126"/>
      <c r="V665" s="1126"/>
      <c r="W665" s="1126"/>
      <c r="X665" s="1126"/>
      <c r="Y665" s="1126"/>
      <c r="Z665" s="1126"/>
      <c r="AA665" s="1126"/>
    </row>
    <row r="666" ht="15.75" customHeight="1">
      <c r="A666" s="1126"/>
      <c r="B666" s="1126"/>
      <c r="C666" s="1126"/>
      <c r="D666" s="1126"/>
      <c r="E666" s="1126"/>
      <c r="F666" s="1126"/>
      <c r="G666" s="1126"/>
      <c r="H666" s="1126"/>
      <c r="I666" s="1126"/>
      <c r="J666" s="1126"/>
      <c r="K666" s="1126"/>
      <c r="L666" s="1126"/>
      <c r="M666" s="1126"/>
      <c r="N666" s="1126"/>
      <c r="O666" s="1126"/>
      <c r="P666" s="1126"/>
      <c r="Q666" s="1126"/>
      <c r="R666" s="1126"/>
      <c r="S666" s="1126"/>
      <c r="T666" s="1126"/>
      <c r="U666" s="1126"/>
      <c r="V666" s="1126"/>
      <c r="W666" s="1126"/>
      <c r="X666" s="1126"/>
      <c r="Y666" s="1126"/>
      <c r="Z666" s="1126"/>
      <c r="AA666" s="1126"/>
    </row>
    <row r="667" ht="15.75" customHeight="1">
      <c r="A667" s="1126"/>
      <c r="B667" s="1126"/>
      <c r="C667" s="1126"/>
      <c r="D667" s="1126"/>
      <c r="E667" s="1126"/>
      <c r="F667" s="1126"/>
      <c r="G667" s="1126"/>
      <c r="H667" s="1126"/>
      <c r="I667" s="1126"/>
      <c r="J667" s="1126"/>
      <c r="K667" s="1126"/>
      <c r="L667" s="1126"/>
      <c r="M667" s="1126"/>
      <c r="N667" s="1126"/>
      <c r="O667" s="1126"/>
      <c r="P667" s="1126"/>
      <c r="Q667" s="1126"/>
      <c r="R667" s="1126"/>
      <c r="S667" s="1126"/>
      <c r="T667" s="1126"/>
      <c r="U667" s="1126"/>
      <c r="V667" s="1126"/>
      <c r="W667" s="1126"/>
      <c r="X667" s="1126"/>
      <c r="Y667" s="1126"/>
      <c r="Z667" s="1126"/>
      <c r="AA667" s="1126"/>
    </row>
    <row r="668" ht="15.75" customHeight="1">
      <c r="A668" s="1126"/>
      <c r="B668" s="1126"/>
      <c r="C668" s="1126"/>
      <c r="D668" s="1126"/>
      <c r="E668" s="1126"/>
      <c r="F668" s="1126"/>
      <c r="G668" s="1126"/>
      <c r="H668" s="1126"/>
      <c r="I668" s="1126"/>
      <c r="J668" s="1126"/>
      <c r="K668" s="1126"/>
      <c r="L668" s="1126"/>
      <c r="M668" s="1126"/>
      <c r="N668" s="1126"/>
      <c r="O668" s="1126"/>
      <c r="P668" s="1126"/>
      <c r="Q668" s="1126"/>
      <c r="R668" s="1126"/>
      <c r="S668" s="1126"/>
      <c r="T668" s="1126"/>
      <c r="U668" s="1126"/>
      <c r="V668" s="1126"/>
      <c r="W668" s="1126"/>
      <c r="X668" s="1126"/>
      <c r="Y668" s="1126"/>
      <c r="Z668" s="1126"/>
      <c r="AA668" s="1126"/>
    </row>
    <row r="669" ht="15.75" customHeight="1">
      <c r="A669" s="1126"/>
      <c r="B669" s="1126"/>
      <c r="C669" s="1126"/>
      <c r="D669" s="1126"/>
      <c r="E669" s="1126"/>
      <c r="F669" s="1126"/>
      <c r="G669" s="1126"/>
      <c r="H669" s="1126"/>
      <c r="I669" s="1126"/>
      <c r="J669" s="1126"/>
      <c r="K669" s="1126"/>
      <c r="L669" s="1126"/>
      <c r="M669" s="1126"/>
      <c r="N669" s="1126"/>
      <c r="O669" s="1126"/>
      <c r="P669" s="1126"/>
      <c r="Q669" s="1126"/>
      <c r="R669" s="1126"/>
      <c r="S669" s="1126"/>
      <c r="T669" s="1126"/>
      <c r="U669" s="1126"/>
      <c r="V669" s="1126"/>
      <c r="W669" s="1126"/>
      <c r="X669" s="1126"/>
      <c r="Y669" s="1126"/>
      <c r="Z669" s="1126"/>
      <c r="AA669" s="1126"/>
    </row>
    <row r="670" ht="15.75" customHeight="1">
      <c r="A670" s="1126"/>
      <c r="B670" s="1126"/>
      <c r="C670" s="1126"/>
      <c r="D670" s="1126"/>
      <c r="E670" s="1126"/>
      <c r="F670" s="1126"/>
      <c r="G670" s="1126"/>
      <c r="H670" s="1126"/>
      <c r="I670" s="1126"/>
      <c r="J670" s="1126"/>
      <c r="K670" s="1126"/>
      <c r="L670" s="1126"/>
      <c r="M670" s="1126"/>
      <c r="N670" s="1126"/>
      <c r="O670" s="1126"/>
      <c r="P670" s="1126"/>
      <c r="Q670" s="1126"/>
      <c r="R670" s="1126"/>
      <c r="S670" s="1126"/>
      <c r="T670" s="1126"/>
      <c r="U670" s="1126"/>
      <c r="V670" s="1126"/>
      <c r="W670" s="1126"/>
      <c r="X670" s="1126"/>
      <c r="Y670" s="1126"/>
      <c r="Z670" s="1126"/>
      <c r="AA670" s="1126"/>
    </row>
    <row r="671" ht="15.75" customHeight="1">
      <c r="A671" s="1126"/>
      <c r="B671" s="1126"/>
      <c r="C671" s="1126"/>
      <c r="D671" s="1126"/>
      <c r="E671" s="1126"/>
      <c r="F671" s="1126"/>
      <c r="G671" s="1126"/>
      <c r="H671" s="1126"/>
      <c r="I671" s="1126"/>
      <c r="J671" s="1126"/>
      <c r="K671" s="1126"/>
      <c r="L671" s="1126"/>
      <c r="M671" s="1126"/>
      <c r="N671" s="1126"/>
      <c r="O671" s="1126"/>
      <c r="P671" s="1126"/>
      <c r="Q671" s="1126"/>
      <c r="R671" s="1126"/>
      <c r="S671" s="1126"/>
      <c r="T671" s="1126"/>
      <c r="U671" s="1126"/>
      <c r="V671" s="1126"/>
      <c r="W671" s="1126"/>
      <c r="X671" s="1126"/>
      <c r="Y671" s="1126"/>
      <c r="Z671" s="1126"/>
      <c r="AA671" s="1126"/>
    </row>
    <row r="672" ht="15.75" customHeight="1">
      <c r="A672" s="1126"/>
      <c r="B672" s="1126"/>
      <c r="C672" s="1126"/>
      <c r="D672" s="1126"/>
      <c r="E672" s="1126"/>
      <c r="F672" s="1126"/>
      <c r="G672" s="1126"/>
      <c r="H672" s="1126"/>
      <c r="I672" s="1126"/>
      <c r="J672" s="1126"/>
      <c r="K672" s="1126"/>
      <c r="L672" s="1126"/>
      <c r="M672" s="1126"/>
      <c r="N672" s="1126"/>
      <c r="O672" s="1126"/>
      <c r="P672" s="1126"/>
      <c r="Q672" s="1126"/>
      <c r="R672" s="1126"/>
      <c r="S672" s="1126"/>
      <c r="T672" s="1126"/>
      <c r="U672" s="1126"/>
      <c r="V672" s="1126"/>
      <c r="W672" s="1126"/>
      <c r="X672" s="1126"/>
      <c r="Y672" s="1126"/>
      <c r="Z672" s="1126"/>
      <c r="AA672" s="1126"/>
    </row>
    <row r="673" ht="15.75" customHeight="1">
      <c r="A673" s="1126"/>
      <c r="B673" s="1126"/>
      <c r="C673" s="1126"/>
      <c r="D673" s="1126"/>
      <c r="E673" s="1126"/>
      <c r="F673" s="1126"/>
      <c r="G673" s="1126"/>
      <c r="H673" s="1126"/>
      <c r="I673" s="1126"/>
      <c r="J673" s="1126"/>
      <c r="K673" s="1126"/>
      <c r="L673" s="1126"/>
      <c r="M673" s="1126"/>
      <c r="N673" s="1126"/>
      <c r="O673" s="1126"/>
      <c r="P673" s="1126"/>
      <c r="Q673" s="1126"/>
      <c r="R673" s="1126"/>
      <c r="S673" s="1126"/>
      <c r="T673" s="1126"/>
      <c r="U673" s="1126"/>
      <c r="V673" s="1126"/>
      <c r="W673" s="1126"/>
      <c r="X673" s="1126"/>
      <c r="Y673" s="1126"/>
      <c r="Z673" s="1126"/>
      <c r="AA673" s="1126"/>
    </row>
    <row r="674" ht="15.75" customHeight="1">
      <c r="A674" s="1126"/>
      <c r="B674" s="1126"/>
      <c r="C674" s="1126"/>
      <c r="D674" s="1126"/>
      <c r="E674" s="1126"/>
      <c r="F674" s="1126"/>
      <c r="G674" s="1126"/>
      <c r="H674" s="1126"/>
      <c r="I674" s="1126"/>
      <c r="J674" s="1126"/>
      <c r="K674" s="1126"/>
      <c r="L674" s="1126"/>
      <c r="M674" s="1126"/>
      <c r="N674" s="1126"/>
      <c r="O674" s="1126"/>
      <c r="P674" s="1126"/>
      <c r="Q674" s="1126"/>
      <c r="R674" s="1126"/>
      <c r="S674" s="1126"/>
      <c r="T674" s="1126"/>
      <c r="U674" s="1126"/>
      <c r="V674" s="1126"/>
      <c r="W674" s="1126"/>
      <c r="X674" s="1126"/>
      <c r="Y674" s="1126"/>
      <c r="Z674" s="1126"/>
      <c r="AA674" s="1126"/>
    </row>
    <row r="675" ht="15.75" customHeight="1">
      <c r="A675" s="1126"/>
      <c r="B675" s="1126"/>
      <c r="C675" s="1126"/>
      <c r="D675" s="1126"/>
      <c r="E675" s="1126"/>
      <c r="F675" s="1126"/>
      <c r="G675" s="1126"/>
      <c r="H675" s="1126"/>
      <c r="I675" s="1126"/>
      <c r="J675" s="1126"/>
      <c r="K675" s="1126"/>
      <c r="L675" s="1126"/>
      <c r="M675" s="1126"/>
      <c r="N675" s="1126"/>
      <c r="O675" s="1126"/>
      <c r="P675" s="1126"/>
      <c r="Q675" s="1126"/>
      <c r="R675" s="1126"/>
      <c r="S675" s="1126"/>
      <c r="T675" s="1126"/>
      <c r="U675" s="1126"/>
      <c r="V675" s="1126"/>
      <c r="W675" s="1126"/>
      <c r="X675" s="1126"/>
      <c r="Y675" s="1126"/>
      <c r="Z675" s="1126"/>
      <c r="AA675" s="1126"/>
    </row>
    <row r="676" ht="15.75" customHeight="1">
      <c r="A676" s="1126"/>
      <c r="B676" s="1126"/>
      <c r="C676" s="1126"/>
      <c r="D676" s="1126"/>
      <c r="E676" s="1126"/>
      <c r="F676" s="1126"/>
      <c r="G676" s="1126"/>
      <c r="H676" s="1126"/>
      <c r="I676" s="1126"/>
      <c r="J676" s="1126"/>
      <c r="K676" s="1126"/>
      <c r="L676" s="1126"/>
      <c r="M676" s="1126"/>
      <c r="N676" s="1126"/>
      <c r="O676" s="1126"/>
      <c r="P676" s="1126"/>
      <c r="Q676" s="1126"/>
      <c r="R676" s="1126"/>
      <c r="S676" s="1126"/>
      <c r="T676" s="1126"/>
      <c r="U676" s="1126"/>
      <c r="V676" s="1126"/>
      <c r="W676" s="1126"/>
      <c r="X676" s="1126"/>
      <c r="Y676" s="1126"/>
      <c r="Z676" s="1126"/>
      <c r="AA676" s="1126"/>
    </row>
    <row r="677" ht="15.75" customHeight="1">
      <c r="A677" s="1126"/>
      <c r="B677" s="1126"/>
      <c r="C677" s="1126"/>
      <c r="D677" s="1126"/>
      <c r="E677" s="1126"/>
      <c r="F677" s="1126"/>
      <c r="G677" s="1126"/>
      <c r="H677" s="1126"/>
      <c r="I677" s="1126"/>
      <c r="J677" s="1126"/>
      <c r="K677" s="1126"/>
      <c r="L677" s="1126"/>
      <c r="M677" s="1126"/>
      <c r="N677" s="1126"/>
      <c r="O677" s="1126"/>
      <c r="P677" s="1126"/>
      <c r="Q677" s="1126"/>
      <c r="R677" s="1126"/>
      <c r="S677" s="1126"/>
      <c r="T677" s="1126"/>
      <c r="U677" s="1126"/>
      <c r="V677" s="1126"/>
      <c r="W677" s="1126"/>
      <c r="X677" s="1126"/>
      <c r="Y677" s="1126"/>
      <c r="Z677" s="1126"/>
      <c r="AA677" s="1126"/>
    </row>
    <row r="678" ht="15.75" customHeight="1">
      <c r="A678" s="1126"/>
      <c r="B678" s="1126"/>
      <c r="C678" s="1126"/>
      <c r="D678" s="1126"/>
      <c r="E678" s="1126"/>
      <c r="F678" s="1126"/>
      <c r="G678" s="1126"/>
      <c r="H678" s="1126"/>
      <c r="I678" s="1126"/>
      <c r="J678" s="1126"/>
      <c r="K678" s="1126"/>
      <c r="L678" s="1126"/>
      <c r="M678" s="1126"/>
      <c r="N678" s="1126"/>
      <c r="O678" s="1126"/>
      <c r="P678" s="1126"/>
      <c r="Q678" s="1126"/>
      <c r="R678" s="1126"/>
      <c r="S678" s="1126"/>
      <c r="T678" s="1126"/>
      <c r="U678" s="1126"/>
      <c r="V678" s="1126"/>
      <c r="W678" s="1126"/>
      <c r="X678" s="1126"/>
      <c r="Y678" s="1126"/>
      <c r="Z678" s="1126"/>
      <c r="AA678" s="1126"/>
    </row>
    <row r="679" ht="15.75" customHeight="1">
      <c r="A679" s="1126"/>
      <c r="B679" s="1126"/>
      <c r="C679" s="1126"/>
      <c r="D679" s="1126"/>
      <c r="E679" s="1126"/>
      <c r="F679" s="1126"/>
      <c r="G679" s="1126"/>
      <c r="H679" s="1126"/>
      <c r="I679" s="1126"/>
      <c r="J679" s="1126"/>
      <c r="K679" s="1126"/>
      <c r="L679" s="1126"/>
      <c r="M679" s="1126"/>
      <c r="N679" s="1126"/>
      <c r="O679" s="1126"/>
      <c r="P679" s="1126"/>
      <c r="Q679" s="1126"/>
      <c r="R679" s="1126"/>
      <c r="S679" s="1126"/>
      <c r="T679" s="1126"/>
      <c r="U679" s="1126"/>
      <c r="V679" s="1126"/>
      <c r="W679" s="1126"/>
      <c r="X679" s="1126"/>
      <c r="Y679" s="1126"/>
      <c r="Z679" s="1126"/>
      <c r="AA679" s="1126"/>
    </row>
    <row r="680" ht="15.75" customHeight="1">
      <c r="A680" s="1126"/>
      <c r="B680" s="1126"/>
      <c r="C680" s="1126"/>
      <c r="D680" s="1126"/>
      <c r="E680" s="1126"/>
      <c r="F680" s="1126"/>
      <c r="G680" s="1126"/>
      <c r="H680" s="1126"/>
      <c r="I680" s="1126"/>
      <c r="J680" s="1126"/>
      <c r="K680" s="1126"/>
      <c r="L680" s="1126"/>
      <c r="M680" s="1126"/>
      <c r="N680" s="1126"/>
      <c r="O680" s="1126"/>
      <c r="P680" s="1126"/>
      <c r="Q680" s="1126"/>
      <c r="R680" s="1126"/>
      <c r="S680" s="1126"/>
      <c r="T680" s="1126"/>
      <c r="U680" s="1126"/>
      <c r="V680" s="1126"/>
      <c r="W680" s="1126"/>
      <c r="X680" s="1126"/>
      <c r="Y680" s="1126"/>
      <c r="Z680" s="1126"/>
      <c r="AA680" s="1126"/>
    </row>
    <row r="681" ht="15.75" customHeight="1">
      <c r="A681" s="1126"/>
      <c r="B681" s="1126"/>
      <c r="C681" s="1126"/>
      <c r="D681" s="1126"/>
      <c r="E681" s="1126"/>
      <c r="F681" s="1126"/>
      <c r="G681" s="1126"/>
      <c r="H681" s="1126"/>
      <c r="I681" s="1126"/>
      <c r="J681" s="1126"/>
      <c r="K681" s="1126"/>
      <c r="L681" s="1126"/>
      <c r="M681" s="1126"/>
      <c r="N681" s="1126"/>
      <c r="O681" s="1126"/>
      <c r="P681" s="1126"/>
      <c r="Q681" s="1126"/>
      <c r="R681" s="1126"/>
      <c r="S681" s="1126"/>
      <c r="T681" s="1126"/>
      <c r="U681" s="1126"/>
      <c r="V681" s="1126"/>
      <c r="W681" s="1126"/>
      <c r="X681" s="1126"/>
      <c r="Y681" s="1126"/>
      <c r="Z681" s="1126"/>
      <c r="AA681" s="1126"/>
    </row>
    <row r="682" ht="15.75" customHeight="1">
      <c r="A682" s="1126"/>
      <c r="B682" s="1126"/>
      <c r="C682" s="1126"/>
      <c r="D682" s="1126"/>
      <c r="E682" s="1126"/>
      <c r="F682" s="1126"/>
      <c r="G682" s="1126"/>
      <c r="H682" s="1126"/>
      <c r="I682" s="1126"/>
      <c r="J682" s="1126"/>
      <c r="K682" s="1126"/>
      <c r="L682" s="1126"/>
      <c r="M682" s="1126"/>
      <c r="N682" s="1126"/>
      <c r="O682" s="1126"/>
      <c r="P682" s="1126"/>
      <c r="Q682" s="1126"/>
      <c r="R682" s="1126"/>
      <c r="S682" s="1126"/>
      <c r="T682" s="1126"/>
      <c r="U682" s="1126"/>
      <c r="V682" s="1126"/>
      <c r="W682" s="1126"/>
      <c r="X682" s="1126"/>
      <c r="Y682" s="1126"/>
      <c r="Z682" s="1126"/>
      <c r="AA682" s="1126"/>
    </row>
    <row r="683" ht="15.75" customHeight="1">
      <c r="A683" s="1126"/>
      <c r="B683" s="1126"/>
      <c r="C683" s="1126"/>
      <c r="D683" s="1126"/>
      <c r="E683" s="1126"/>
      <c r="F683" s="1126"/>
      <c r="G683" s="1126"/>
      <c r="H683" s="1126"/>
      <c r="I683" s="1126"/>
      <c r="J683" s="1126"/>
      <c r="K683" s="1126"/>
      <c r="L683" s="1126"/>
      <c r="M683" s="1126"/>
      <c r="N683" s="1126"/>
      <c r="O683" s="1126"/>
      <c r="P683" s="1126"/>
      <c r="Q683" s="1126"/>
      <c r="R683" s="1126"/>
      <c r="S683" s="1126"/>
      <c r="T683" s="1126"/>
      <c r="U683" s="1126"/>
      <c r="V683" s="1126"/>
      <c r="W683" s="1126"/>
      <c r="X683" s="1126"/>
      <c r="Y683" s="1126"/>
      <c r="Z683" s="1126"/>
      <c r="AA683" s="1126"/>
    </row>
    <row r="684" ht="15.75" customHeight="1">
      <c r="A684" s="1126"/>
      <c r="B684" s="1126"/>
      <c r="C684" s="1126"/>
      <c r="D684" s="1126"/>
      <c r="E684" s="1126"/>
      <c r="F684" s="1126"/>
      <c r="G684" s="1126"/>
      <c r="H684" s="1126"/>
      <c r="I684" s="1126"/>
      <c r="J684" s="1126"/>
      <c r="K684" s="1126"/>
      <c r="L684" s="1126"/>
      <c r="M684" s="1126"/>
      <c r="N684" s="1126"/>
      <c r="O684" s="1126"/>
      <c r="P684" s="1126"/>
      <c r="Q684" s="1126"/>
      <c r="R684" s="1126"/>
      <c r="S684" s="1126"/>
      <c r="T684" s="1126"/>
      <c r="U684" s="1126"/>
      <c r="V684" s="1126"/>
      <c r="W684" s="1126"/>
      <c r="X684" s="1126"/>
      <c r="Y684" s="1126"/>
      <c r="Z684" s="1126"/>
      <c r="AA684" s="1126"/>
    </row>
    <row r="685" ht="15.75" customHeight="1">
      <c r="A685" s="1126"/>
      <c r="B685" s="1126"/>
      <c r="C685" s="1126"/>
      <c r="D685" s="1126"/>
      <c r="E685" s="1126"/>
      <c r="F685" s="1126"/>
      <c r="G685" s="1126"/>
      <c r="H685" s="1126"/>
      <c r="I685" s="1126"/>
      <c r="J685" s="1126"/>
      <c r="K685" s="1126"/>
      <c r="L685" s="1126"/>
      <c r="M685" s="1126"/>
      <c r="N685" s="1126"/>
      <c r="O685" s="1126"/>
      <c r="P685" s="1126"/>
      <c r="Q685" s="1126"/>
      <c r="R685" s="1126"/>
      <c r="S685" s="1126"/>
      <c r="T685" s="1126"/>
      <c r="U685" s="1126"/>
      <c r="V685" s="1126"/>
      <c r="W685" s="1126"/>
      <c r="X685" s="1126"/>
      <c r="Y685" s="1126"/>
      <c r="Z685" s="1126"/>
      <c r="AA685" s="1126"/>
    </row>
    <row r="686" ht="15.75" customHeight="1">
      <c r="A686" s="1126"/>
      <c r="B686" s="1126"/>
      <c r="C686" s="1126"/>
      <c r="D686" s="1126"/>
      <c r="E686" s="1126"/>
      <c r="F686" s="1126"/>
      <c r="G686" s="1126"/>
      <c r="H686" s="1126"/>
      <c r="I686" s="1126"/>
      <c r="J686" s="1126"/>
      <c r="K686" s="1126"/>
      <c r="L686" s="1126"/>
      <c r="M686" s="1126"/>
      <c r="N686" s="1126"/>
      <c r="O686" s="1126"/>
      <c r="P686" s="1126"/>
      <c r="Q686" s="1126"/>
      <c r="R686" s="1126"/>
      <c r="S686" s="1126"/>
      <c r="T686" s="1126"/>
      <c r="U686" s="1126"/>
      <c r="V686" s="1126"/>
      <c r="W686" s="1126"/>
      <c r="X686" s="1126"/>
      <c r="Y686" s="1126"/>
      <c r="Z686" s="1126"/>
      <c r="AA686" s="1126"/>
    </row>
    <row r="687" ht="15.75" customHeight="1">
      <c r="A687" s="1126"/>
      <c r="B687" s="1126"/>
      <c r="C687" s="1126"/>
      <c r="D687" s="1126"/>
      <c r="E687" s="1126"/>
      <c r="F687" s="1126"/>
      <c r="G687" s="1126"/>
      <c r="H687" s="1126"/>
      <c r="I687" s="1126"/>
      <c r="J687" s="1126"/>
      <c r="K687" s="1126"/>
      <c r="L687" s="1126"/>
      <c r="M687" s="1126"/>
      <c r="N687" s="1126"/>
      <c r="O687" s="1126"/>
      <c r="P687" s="1126"/>
      <c r="Q687" s="1126"/>
      <c r="R687" s="1126"/>
      <c r="S687" s="1126"/>
      <c r="T687" s="1126"/>
      <c r="U687" s="1126"/>
      <c r="V687" s="1126"/>
      <c r="W687" s="1126"/>
      <c r="X687" s="1126"/>
      <c r="Y687" s="1126"/>
      <c r="Z687" s="1126"/>
      <c r="AA687" s="1126"/>
    </row>
    <row r="688" ht="15.75" customHeight="1">
      <c r="A688" s="1126"/>
      <c r="B688" s="1126"/>
      <c r="C688" s="1126"/>
      <c r="D688" s="1126"/>
      <c r="E688" s="1126"/>
      <c r="F688" s="1126"/>
      <c r="G688" s="1126"/>
      <c r="H688" s="1126"/>
      <c r="I688" s="1126"/>
      <c r="J688" s="1126"/>
      <c r="K688" s="1126"/>
      <c r="L688" s="1126"/>
      <c r="M688" s="1126"/>
      <c r="N688" s="1126"/>
      <c r="O688" s="1126"/>
      <c r="P688" s="1126"/>
      <c r="Q688" s="1126"/>
      <c r="R688" s="1126"/>
      <c r="S688" s="1126"/>
      <c r="T688" s="1126"/>
      <c r="U688" s="1126"/>
      <c r="V688" s="1126"/>
      <c r="W688" s="1126"/>
      <c r="X688" s="1126"/>
      <c r="Y688" s="1126"/>
      <c r="Z688" s="1126"/>
      <c r="AA688" s="1126"/>
    </row>
    <row r="689" ht="15.75" customHeight="1">
      <c r="A689" s="1126"/>
      <c r="B689" s="1126"/>
      <c r="C689" s="1126"/>
      <c r="D689" s="1126"/>
      <c r="E689" s="1126"/>
      <c r="F689" s="1126"/>
      <c r="G689" s="1126"/>
      <c r="H689" s="1126"/>
      <c r="I689" s="1126"/>
      <c r="J689" s="1126"/>
      <c r="K689" s="1126"/>
      <c r="L689" s="1126"/>
      <c r="M689" s="1126"/>
      <c r="N689" s="1126"/>
      <c r="O689" s="1126"/>
      <c r="P689" s="1126"/>
      <c r="Q689" s="1126"/>
      <c r="R689" s="1126"/>
      <c r="S689" s="1126"/>
      <c r="T689" s="1126"/>
      <c r="U689" s="1126"/>
      <c r="V689" s="1126"/>
      <c r="W689" s="1126"/>
      <c r="X689" s="1126"/>
      <c r="Y689" s="1126"/>
      <c r="Z689" s="1126"/>
      <c r="AA689" s="1126"/>
    </row>
    <row r="690" ht="15.75" customHeight="1">
      <c r="A690" s="1126"/>
      <c r="B690" s="1126"/>
      <c r="C690" s="1126"/>
      <c r="D690" s="1126"/>
      <c r="E690" s="1126"/>
      <c r="F690" s="1126"/>
      <c r="G690" s="1126"/>
      <c r="H690" s="1126"/>
      <c r="I690" s="1126"/>
      <c r="J690" s="1126"/>
      <c r="K690" s="1126"/>
      <c r="L690" s="1126"/>
      <c r="M690" s="1126"/>
      <c r="N690" s="1126"/>
      <c r="O690" s="1126"/>
      <c r="P690" s="1126"/>
      <c r="Q690" s="1126"/>
      <c r="R690" s="1126"/>
      <c r="S690" s="1126"/>
      <c r="T690" s="1126"/>
      <c r="U690" s="1126"/>
      <c r="V690" s="1126"/>
      <c r="W690" s="1126"/>
      <c r="X690" s="1126"/>
      <c r="Y690" s="1126"/>
      <c r="Z690" s="1126"/>
      <c r="AA690" s="1126"/>
    </row>
    <row r="691" ht="15.75" customHeight="1">
      <c r="A691" s="1126"/>
      <c r="B691" s="1126"/>
      <c r="C691" s="1126"/>
      <c r="D691" s="1126"/>
      <c r="E691" s="1126"/>
      <c r="F691" s="1126"/>
      <c r="G691" s="1126"/>
      <c r="H691" s="1126"/>
      <c r="I691" s="1126"/>
      <c r="J691" s="1126"/>
      <c r="K691" s="1126"/>
      <c r="L691" s="1126"/>
      <c r="M691" s="1126"/>
      <c r="N691" s="1126"/>
      <c r="O691" s="1126"/>
      <c r="P691" s="1126"/>
      <c r="Q691" s="1126"/>
      <c r="R691" s="1126"/>
      <c r="S691" s="1126"/>
      <c r="T691" s="1126"/>
      <c r="U691" s="1126"/>
      <c r="V691" s="1126"/>
      <c r="W691" s="1126"/>
      <c r="X691" s="1126"/>
      <c r="Y691" s="1126"/>
      <c r="Z691" s="1126"/>
      <c r="AA691" s="1126"/>
    </row>
    <row r="692" ht="15.75" customHeight="1">
      <c r="A692" s="1126"/>
      <c r="B692" s="1126"/>
      <c r="C692" s="1126"/>
      <c r="D692" s="1126"/>
      <c r="E692" s="1126"/>
      <c r="F692" s="1126"/>
      <c r="G692" s="1126"/>
      <c r="H692" s="1126"/>
      <c r="I692" s="1126"/>
      <c r="J692" s="1126"/>
      <c r="K692" s="1126"/>
      <c r="L692" s="1126"/>
      <c r="M692" s="1126"/>
      <c r="N692" s="1126"/>
      <c r="O692" s="1126"/>
      <c r="P692" s="1126"/>
      <c r="Q692" s="1126"/>
      <c r="R692" s="1126"/>
      <c r="S692" s="1126"/>
      <c r="T692" s="1126"/>
      <c r="U692" s="1126"/>
      <c r="V692" s="1126"/>
      <c r="W692" s="1126"/>
      <c r="X692" s="1126"/>
      <c r="Y692" s="1126"/>
      <c r="Z692" s="1126"/>
      <c r="AA692" s="1126"/>
    </row>
    <row r="693" ht="15.75" customHeight="1">
      <c r="A693" s="1126"/>
      <c r="B693" s="1126"/>
      <c r="C693" s="1126"/>
      <c r="D693" s="1126"/>
      <c r="E693" s="1126"/>
      <c r="F693" s="1126"/>
      <c r="G693" s="1126"/>
      <c r="H693" s="1126"/>
      <c r="I693" s="1126"/>
      <c r="J693" s="1126"/>
      <c r="K693" s="1126"/>
      <c r="L693" s="1126"/>
      <c r="M693" s="1126"/>
      <c r="N693" s="1126"/>
      <c r="O693" s="1126"/>
      <c r="P693" s="1126"/>
      <c r="Q693" s="1126"/>
      <c r="R693" s="1126"/>
      <c r="S693" s="1126"/>
      <c r="T693" s="1126"/>
      <c r="U693" s="1126"/>
      <c r="V693" s="1126"/>
      <c r="W693" s="1126"/>
      <c r="X693" s="1126"/>
      <c r="Y693" s="1126"/>
      <c r="Z693" s="1126"/>
      <c r="AA693" s="1126"/>
    </row>
    <row r="694" ht="15.75" customHeight="1">
      <c r="A694" s="1126"/>
      <c r="B694" s="1126"/>
      <c r="C694" s="1126"/>
      <c r="D694" s="1126"/>
      <c r="E694" s="1126"/>
      <c r="F694" s="1126"/>
      <c r="G694" s="1126"/>
      <c r="H694" s="1126"/>
      <c r="I694" s="1126"/>
      <c r="J694" s="1126"/>
      <c r="K694" s="1126"/>
      <c r="L694" s="1126"/>
      <c r="M694" s="1126"/>
      <c r="N694" s="1126"/>
      <c r="O694" s="1126"/>
      <c r="P694" s="1126"/>
      <c r="Q694" s="1126"/>
      <c r="R694" s="1126"/>
      <c r="S694" s="1126"/>
      <c r="T694" s="1126"/>
      <c r="U694" s="1126"/>
      <c r="V694" s="1126"/>
      <c r="W694" s="1126"/>
      <c r="X694" s="1126"/>
      <c r="Y694" s="1126"/>
      <c r="Z694" s="1126"/>
      <c r="AA694" s="1126"/>
    </row>
    <row r="695" ht="15.75" customHeight="1">
      <c r="A695" s="1126"/>
      <c r="B695" s="1126"/>
      <c r="C695" s="1126"/>
      <c r="D695" s="1126"/>
      <c r="E695" s="1126"/>
      <c r="F695" s="1126"/>
      <c r="G695" s="1126"/>
      <c r="H695" s="1126"/>
      <c r="I695" s="1126"/>
      <c r="J695" s="1126"/>
      <c r="K695" s="1126"/>
      <c r="L695" s="1126"/>
      <c r="M695" s="1126"/>
      <c r="N695" s="1126"/>
      <c r="O695" s="1126"/>
      <c r="P695" s="1126"/>
      <c r="Q695" s="1126"/>
      <c r="R695" s="1126"/>
      <c r="S695" s="1126"/>
      <c r="T695" s="1126"/>
      <c r="U695" s="1126"/>
      <c r="V695" s="1126"/>
      <c r="W695" s="1126"/>
      <c r="X695" s="1126"/>
      <c r="Y695" s="1126"/>
      <c r="Z695" s="1126"/>
      <c r="AA695" s="1126"/>
    </row>
    <row r="696" ht="15.75" customHeight="1">
      <c r="A696" s="1126"/>
      <c r="B696" s="1126"/>
      <c r="C696" s="1126"/>
      <c r="D696" s="1126"/>
      <c r="E696" s="1126"/>
      <c r="F696" s="1126"/>
      <c r="G696" s="1126"/>
      <c r="H696" s="1126"/>
      <c r="I696" s="1126"/>
      <c r="J696" s="1126"/>
      <c r="K696" s="1126"/>
      <c r="L696" s="1126"/>
      <c r="M696" s="1126"/>
      <c r="N696" s="1126"/>
      <c r="O696" s="1126"/>
      <c r="P696" s="1126"/>
      <c r="Q696" s="1126"/>
      <c r="R696" s="1126"/>
      <c r="S696" s="1126"/>
      <c r="T696" s="1126"/>
      <c r="U696" s="1126"/>
      <c r="V696" s="1126"/>
      <c r="W696" s="1126"/>
      <c r="X696" s="1126"/>
      <c r="Y696" s="1126"/>
      <c r="Z696" s="1126"/>
      <c r="AA696" s="1126"/>
    </row>
    <row r="697" ht="15.75" customHeight="1">
      <c r="A697" s="1126"/>
      <c r="B697" s="1126"/>
      <c r="C697" s="1126"/>
      <c r="D697" s="1126"/>
      <c r="E697" s="1126"/>
      <c r="F697" s="1126"/>
      <c r="G697" s="1126"/>
      <c r="H697" s="1126"/>
      <c r="I697" s="1126"/>
      <c r="J697" s="1126"/>
      <c r="K697" s="1126"/>
      <c r="L697" s="1126"/>
      <c r="M697" s="1126"/>
      <c r="N697" s="1126"/>
      <c r="O697" s="1126"/>
      <c r="P697" s="1126"/>
      <c r="Q697" s="1126"/>
      <c r="R697" s="1126"/>
      <c r="S697" s="1126"/>
      <c r="T697" s="1126"/>
      <c r="U697" s="1126"/>
      <c r="V697" s="1126"/>
      <c r="W697" s="1126"/>
      <c r="X697" s="1126"/>
      <c r="Y697" s="1126"/>
      <c r="Z697" s="1126"/>
      <c r="AA697" s="1126"/>
    </row>
    <row r="698" ht="15.75" customHeight="1">
      <c r="A698" s="1126"/>
      <c r="B698" s="1126"/>
      <c r="C698" s="1126"/>
      <c r="D698" s="1126"/>
      <c r="E698" s="1126"/>
      <c r="F698" s="1126"/>
      <c r="G698" s="1126"/>
      <c r="H698" s="1126"/>
      <c r="I698" s="1126"/>
      <c r="J698" s="1126"/>
      <c r="K698" s="1126"/>
      <c r="L698" s="1126"/>
      <c r="M698" s="1126"/>
      <c r="N698" s="1126"/>
      <c r="O698" s="1126"/>
      <c r="P698" s="1126"/>
      <c r="Q698" s="1126"/>
      <c r="R698" s="1126"/>
      <c r="S698" s="1126"/>
      <c r="T698" s="1126"/>
      <c r="U698" s="1126"/>
      <c r="V698" s="1126"/>
      <c r="W698" s="1126"/>
      <c r="X698" s="1126"/>
      <c r="Y698" s="1126"/>
      <c r="Z698" s="1126"/>
      <c r="AA698" s="1126"/>
    </row>
    <row r="699" ht="15.75" customHeight="1">
      <c r="A699" s="1126"/>
      <c r="B699" s="1126"/>
      <c r="C699" s="1126"/>
      <c r="D699" s="1126"/>
      <c r="E699" s="1126"/>
      <c r="F699" s="1126"/>
      <c r="G699" s="1126"/>
      <c r="H699" s="1126"/>
      <c r="I699" s="1126"/>
      <c r="J699" s="1126"/>
      <c r="K699" s="1126"/>
      <c r="L699" s="1126"/>
      <c r="M699" s="1126"/>
      <c r="N699" s="1126"/>
      <c r="O699" s="1126"/>
      <c r="P699" s="1126"/>
      <c r="Q699" s="1126"/>
      <c r="R699" s="1126"/>
      <c r="S699" s="1126"/>
      <c r="T699" s="1126"/>
      <c r="U699" s="1126"/>
      <c r="V699" s="1126"/>
      <c r="W699" s="1126"/>
      <c r="X699" s="1126"/>
      <c r="Y699" s="1126"/>
      <c r="Z699" s="1126"/>
      <c r="AA699" s="1126"/>
    </row>
    <row r="700" ht="15.75" customHeight="1">
      <c r="A700" s="1126"/>
      <c r="B700" s="1126"/>
      <c r="C700" s="1126"/>
      <c r="D700" s="1126"/>
      <c r="E700" s="1126"/>
      <c r="F700" s="1126"/>
      <c r="G700" s="1126"/>
      <c r="H700" s="1126"/>
      <c r="I700" s="1126"/>
      <c r="J700" s="1126"/>
      <c r="K700" s="1126"/>
      <c r="L700" s="1126"/>
      <c r="M700" s="1126"/>
      <c r="N700" s="1126"/>
      <c r="O700" s="1126"/>
      <c r="P700" s="1126"/>
      <c r="Q700" s="1126"/>
      <c r="R700" s="1126"/>
      <c r="S700" s="1126"/>
      <c r="T700" s="1126"/>
      <c r="U700" s="1126"/>
      <c r="V700" s="1126"/>
      <c r="W700" s="1126"/>
      <c r="X700" s="1126"/>
      <c r="Y700" s="1126"/>
      <c r="Z700" s="1126"/>
      <c r="AA700" s="1126"/>
    </row>
    <row r="701" ht="15.75" customHeight="1">
      <c r="A701" s="1126"/>
      <c r="B701" s="1126"/>
      <c r="C701" s="1126"/>
      <c r="D701" s="1126"/>
      <c r="E701" s="1126"/>
      <c r="F701" s="1126"/>
      <c r="G701" s="1126"/>
      <c r="H701" s="1126"/>
      <c r="I701" s="1126"/>
      <c r="J701" s="1126"/>
      <c r="K701" s="1126"/>
      <c r="L701" s="1126"/>
      <c r="M701" s="1126"/>
      <c r="N701" s="1126"/>
      <c r="O701" s="1126"/>
      <c r="P701" s="1126"/>
      <c r="Q701" s="1126"/>
      <c r="R701" s="1126"/>
      <c r="S701" s="1126"/>
      <c r="T701" s="1126"/>
      <c r="U701" s="1126"/>
      <c r="V701" s="1126"/>
      <c r="W701" s="1126"/>
      <c r="X701" s="1126"/>
      <c r="Y701" s="1126"/>
      <c r="Z701" s="1126"/>
      <c r="AA701" s="1126"/>
    </row>
    <row r="702" ht="15.75" customHeight="1">
      <c r="A702" s="1126"/>
      <c r="B702" s="1126"/>
      <c r="C702" s="1126"/>
      <c r="D702" s="1126"/>
      <c r="E702" s="1126"/>
      <c r="F702" s="1126"/>
      <c r="G702" s="1126"/>
      <c r="H702" s="1126"/>
      <c r="I702" s="1126"/>
      <c r="J702" s="1126"/>
      <c r="K702" s="1126"/>
      <c r="L702" s="1126"/>
      <c r="M702" s="1126"/>
      <c r="N702" s="1126"/>
      <c r="O702" s="1126"/>
      <c r="P702" s="1126"/>
      <c r="Q702" s="1126"/>
      <c r="R702" s="1126"/>
      <c r="S702" s="1126"/>
      <c r="T702" s="1126"/>
      <c r="U702" s="1126"/>
      <c r="V702" s="1126"/>
      <c r="W702" s="1126"/>
      <c r="X702" s="1126"/>
      <c r="Y702" s="1126"/>
      <c r="Z702" s="1126"/>
      <c r="AA702" s="1126"/>
    </row>
    <row r="703" ht="15.75" customHeight="1">
      <c r="A703" s="1126"/>
      <c r="B703" s="1126"/>
      <c r="C703" s="1126"/>
      <c r="D703" s="1126"/>
      <c r="E703" s="1126"/>
      <c r="F703" s="1126"/>
      <c r="G703" s="1126"/>
      <c r="H703" s="1126"/>
      <c r="I703" s="1126"/>
      <c r="J703" s="1126"/>
      <c r="K703" s="1126"/>
      <c r="L703" s="1126"/>
      <c r="M703" s="1126"/>
      <c r="N703" s="1126"/>
      <c r="O703" s="1126"/>
      <c r="P703" s="1126"/>
      <c r="Q703" s="1126"/>
      <c r="R703" s="1126"/>
      <c r="S703" s="1126"/>
      <c r="T703" s="1126"/>
      <c r="U703" s="1126"/>
      <c r="V703" s="1126"/>
      <c r="W703" s="1126"/>
      <c r="X703" s="1126"/>
      <c r="Y703" s="1126"/>
      <c r="Z703" s="1126"/>
      <c r="AA703" s="1126"/>
    </row>
    <row r="704" ht="15.75" customHeight="1">
      <c r="A704" s="1126"/>
      <c r="B704" s="1126"/>
      <c r="C704" s="1126"/>
      <c r="D704" s="1126"/>
      <c r="E704" s="1126"/>
      <c r="F704" s="1126"/>
      <c r="G704" s="1126"/>
      <c r="H704" s="1126"/>
      <c r="I704" s="1126"/>
      <c r="J704" s="1126"/>
      <c r="K704" s="1126"/>
      <c r="L704" s="1126"/>
      <c r="M704" s="1126"/>
      <c r="N704" s="1126"/>
      <c r="O704" s="1126"/>
      <c r="P704" s="1126"/>
      <c r="Q704" s="1126"/>
      <c r="R704" s="1126"/>
      <c r="S704" s="1126"/>
      <c r="T704" s="1126"/>
      <c r="U704" s="1126"/>
      <c r="V704" s="1126"/>
      <c r="W704" s="1126"/>
      <c r="X704" s="1126"/>
      <c r="Y704" s="1126"/>
      <c r="Z704" s="1126"/>
      <c r="AA704" s="1126"/>
    </row>
    <row r="705" ht="15.75" customHeight="1">
      <c r="A705" s="1126"/>
      <c r="B705" s="1126"/>
      <c r="C705" s="1126"/>
      <c r="D705" s="1126"/>
      <c r="E705" s="1126"/>
      <c r="F705" s="1126"/>
      <c r="G705" s="1126"/>
      <c r="H705" s="1126"/>
      <c r="I705" s="1126"/>
      <c r="J705" s="1126"/>
      <c r="K705" s="1126"/>
      <c r="L705" s="1126"/>
      <c r="M705" s="1126"/>
      <c r="N705" s="1126"/>
      <c r="O705" s="1126"/>
      <c r="P705" s="1126"/>
      <c r="Q705" s="1126"/>
      <c r="R705" s="1126"/>
      <c r="S705" s="1126"/>
      <c r="T705" s="1126"/>
      <c r="U705" s="1126"/>
      <c r="V705" s="1126"/>
      <c r="W705" s="1126"/>
      <c r="X705" s="1126"/>
      <c r="Y705" s="1126"/>
      <c r="Z705" s="1126"/>
      <c r="AA705" s="1126"/>
    </row>
    <row r="706" ht="15.75" customHeight="1">
      <c r="A706" s="1126"/>
      <c r="B706" s="1126"/>
      <c r="C706" s="1126"/>
      <c r="D706" s="1126"/>
      <c r="E706" s="1126"/>
      <c r="F706" s="1126"/>
      <c r="G706" s="1126"/>
      <c r="H706" s="1126"/>
      <c r="I706" s="1126"/>
      <c r="J706" s="1126"/>
      <c r="K706" s="1126"/>
      <c r="L706" s="1126"/>
      <c r="M706" s="1126"/>
      <c r="N706" s="1126"/>
      <c r="O706" s="1126"/>
      <c r="P706" s="1126"/>
      <c r="Q706" s="1126"/>
      <c r="R706" s="1126"/>
      <c r="S706" s="1126"/>
      <c r="T706" s="1126"/>
      <c r="U706" s="1126"/>
      <c r="V706" s="1126"/>
      <c r="W706" s="1126"/>
      <c r="X706" s="1126"/>
      <c r="Y706" s="1126"/>
      <c r="Z706" s="1126"/>
      <c r="AA706" s="1126"/>
    </row>
    <row r="707" ht="15.75" customHeight="1">
      <c r="A707" s="1126"/>
      <c r="B707" s="1126"/>
      <c r="C707" s="1126"/>
      <c r="D707" s="1126"/>
      <c r="E707" s="1126"/>
      <c r="F707" s="1126"/>
      <c r="G707" s="1126"/>
      <c r="H707" s="1126"/>
      <c r="I707" s="1126"/>
      <c r="J707" s="1126"/>
      <c r="K707" s="1126"/>
      <c r="L707" s="1126"/>
      <c r="M707" s="1126"/>
      <c r="N707" s="1126"/>
      <c r="O707" s="1126"/>
      <c r="P707" s="1126"/>
      <c r="Q707" s="1126"/>
      <c r="R707" s="1126"/>
      <c r="S707" s="1126"/>
      <c r="T707" s="1126"/>
      <c r="U707" s="1126"/>
      <c r="V707" s="1126"/>
      <c r="W707" s="1126"/>
      <c r="X707" s="1126"/>
      <c r="Y707" s="1126"/>
      <c r="Z707" s="1126"/>
      <c r="AA707" s="1126"/>
    </row>
    <row r="708" ht="15.75" customHeight="1">
      <c r="A708" s="1126"/>
      <c r="B708" s="1126"/>
      <c r="C708" s="1126"/>
      <c r="D708" s="1126"/>
      <c r="E708" s="1126"/>
      <c r="F708" s="1126"/>
      <c r="G708" s="1126"/>
      <c r="H708" s="1126"/>
      <c r="I708" s="1126"/>
      <c r="J708" s="1126"/>
      <c r="K708" s="1126"/>
      <c r="L708" s="1126"/>
      <c r="M708" s="1126"/>
      <c r="N708" s="1126"/>
      <c r="O708" s="1126"/>
      <c r="P708" s="1126"/>
      <c r="Q708" s="1126"/>
      <c r="R708" s="1126"/>
      <c r="S708" s="1126"/>
      <c r="T708" s="1126"/>
      <c r="U708" s="1126"/>
      <c r="V708" s="1126"/>
      <c r="W708" s="1126"/>
      <c r="X708" s="1126"/>
      <c r="Y708" s="1126"/>
      <c r="Z708" s="1126"/>
      <c r="AA708" s="1126"/>
    </row>
    <row r="709" ht="15.75" customHeight="1">
      <c r="A709" s="1126"/>
      <c r="B709" s="1126"/>
      <c r="C709" s="1126"/>
      <c r="D709" s="1126"/>
      <c r="E709" s="1126"/>
      <c r="F709" s="1126"/>
      <c r="G709" s="1126"/>
      <c r="H709" s="1126"/>
      <c r="I709" s="1126"/>
      <c r="J709" s="1126"/>
      <c r="K709" s="1126"/>
      <c r="L709" s="1126"/>
      <c r="M709" s="1126"/>
      <c r="N709" s="1126"/>
      <c r="O709" s="1126"/>
      <c r="P709" s="1126"/>
      <c r="Q709" s="1126"/>
      <c r="R709" s="1126"/>
      <c r="S709" s="1126"/>
      <c r="T709" s="1126"/>
      <c r="U709" s="1126"/>
      <c r="V709" s="1126"/>
      <c r="W709" s="1126"/>
      <c r="X709" s="1126"/>
      <c r="Y709" s="1126"/>
      <c r="Z709" s="1126"/>
      <c r="AA709" s="1126"/>
    </row>
    <row r="710" ht="15.75" customHeight="1">
      <c r="A710" s="1126"/>
      <c r="B710" s="1126"/>
      <c r="C710" s="1126"/>
      <c r="D710" s="1126"/>
      <c r="E710" s="1126"/>
      <c r="F710" s="1126"/>
      <c r="G710" s="1126"/>
      <c r="H710" s="1126"/>
      <c r="I710" s="1126"/>
      <c r="J710" s="1126"/>
      <c r="K710" s="1126"/>
      <c r="L710" s="1126"/>
      <c r="M710" s="1126"/>
      <c r="N710" s="1126"/>
      <c r="O710" s="1126"/>
      <c r="P710" s="1126"/>
      <c r="Q710" s="1126"/>
      <c r="R710" s="1126"/>
      <c r="S710" s="1126"/>
      <c r="T710" s="1126"/>
      <c r="U710" s="1126"/>
      <c r="V710" s="1126"/>
      <c r="W710" s="1126"/>
      <c r="X710" s="1126"/>
      <c r="Y710" s="1126"/>
      <c r="Z710" s="1126"/>
      <c r="AA710" s="1126"/>
    </row>
    <row r="711" ht="15.75" customHeight="1">
      <c r="A711" s="1126"/>
      <c r="B711" s="1126"/>
      <c r="C711" s="1126"/>
      <c r="D711" s="1126"/>
      <c r="E711" s="1126"/>
      <c r="F711" s="1126"/>
      <c r="G711" s="1126"/>
      <c r="H711" s="1126"/>
      <c r="I711" s="1126"/>
      <c r="J711" s="1126"/>
      <c r="K711" s="1126"/>
      <c r="L711" s="1126"/>
      <c r="M711" s="1126"/>
      <c r="N711" s="1126"/>
      <c r="O711" s="1126"/>
      <c r="P711" s="1126"/>
      <c r="Q711" s="1126"/>
      <c r="R711" s="1126"/>
      <c r="S711" s="1126"/>
      <c r="T711" s="1126"/>
      <c r="U711" s="1126"/>
      <c r="V711" s="1126"/>
      <c r="W711" s="1126"/>
      <c r="X711" s="1126"/>
      <c r="Y711" s="1126"/>
      <c r="Z711" s="1126"/>
      <c r="AA711" s="1126"/>
    </row>
    <row r="712" ht="15.75" customHeight="1">
      <c r="A712" s="1126"/>
      <c r="B712" s="1126"/>
      <c r="C712" s="1126"/>
      <c r="D712" s="1126"/>
      <c r="E712" s="1126"/>
      <c r="F712" s="1126"/>
      <c r="G712" s="1126"/>
      <c r="H712" s="1126"/>
      <c r="I712" s="1126"/>
      <c r="J712" s="1126"/>
      <c r="K712" s="1126"/>
      <c r="L712" s="1126"/>
      <c r="M712" s="1126"/>
      <c r="N712" s="1126"/>
      <c r="O712" s="1126"/>
      <c r="P712" s="1126"/>
      <c r="Q712" s="1126"/>
      <c r="R712" s="1126"/>
      <c r="S712" s="1126"/>
      <c r="T712" s="1126"/>
      <c r="U712" s="1126"/>
      <c r="V712" s="1126"/>
      <c r="W712" s="1126"/>
      <c r="X712" s="1126"/>
      <c r="Y712" s="1126"/>
      <c r="Z712" s="1126"/>
      <c r="AA712" s="1126"/>
    </row>
    <row r="713" ht="15.75" customHeight="1">
      <c r="A713" s="1126"/>
      <c r="B713" s="1126"/>
      <c r="C713" s="1126"/>
      <c r="D713" s="1126"/>
      <c r="E713" s="1126"/>
      <c r="F713" s="1126"/>
      <c r="G713" s="1126"/>
      <c r="H713" s="1126"/>
      <c r="I713" s="1126"/>
      <c r="J713" s="1126"/>
      <c r="K713" s="1126"/>
      <c r="L713" s="1126"/>
      <c r="M713" s="1126"/>
      <c r="N713" s="1126"/>
      <c r="O713" s="1126"/>
      <c r="P713" s="1126"/>
      <c r="Q713" s="1126"/>
      <c r="R713" s="1126"/>
      <c r="S713" s="1126"/>
      <c r="T713" s="1126"/>
      <c r="U713" s="1126"/>
      <c r="V713" s="1126"/>
      <c r="W713" s="1126"/>
      <c r="X713" s="1126"/>
      <c r="Y713" s="1126"/>
      <c r="Z713" s="1126"/>
      <c r="AA713" s="1126"/>
    </row>
    <row r="714" ht="15.75" customHeight="1">
      <c r="A714" s="1126"/>
      <c r="B714" s="1126"/>
      <c r="C714" s="1126"/>
      <c r="D714" s="1126"/>
      <c r="E714" s="1126"/>
      <c r="F714" s="1126"/>
      <c r="G714" s="1126"/>
      <c r="H714" s="1126"/>
      <c r="I714" s="1126"/>
      <c r="J714" s="1126"/>
      <c r="K714" s="1126"/>
      <c r="L714" s="1126"/>
      <c r="M714" s="1126"/>
      <c r="N714" s="1126"/>
      <c r="O714" s="1126"/>
      <c r="P714" s="1126"/>
      <c r="Q714" s="1126"/>
      <c r="R714" s="1126"/>
      <c r="S714" s="1126"/>
      <c r="T714" s="1126"/>
      <c r="U714" s="1126"/>
      <c r="V714" s="1126"/>
      <c r="W714" s="1126"/>
      <c r="X714" s="1126"/>
      <c r="Y714" s="1126"/>
      <c r="Z714" s="1126"/>
      <c r="AA714" s="1126"/>
    </row>
    <row r="715" ht="15.75" customHeight="1">
      <c r="A715" s="1126"/>
      <c r="B715" s="1126"/>
      <c r="C715" s="1126"/>
      <c r="D715" s="1126"/>
      <c r="E715" s="1126"/>
      <c r="F715" s="1126"/>
      <c r="G715" s="1126"/>
      <c r="H715" s="1126"/>
      <c r="I715" s="1126"/>
      <c r="J715" s="1126"/>
      <c r="K715" s="1126"/>
      <c r="L715" s="1126"/>
      <c r="M715" s="1126"/>
      <c r="N715" s="1126"/>
      <c r="O715" s="1126"/>
      <c r="P715" s="1126"/>
      <c r="Q715" s="1126"/>
      <c r="R715" s="1126"/>
      <c r="S715" s="1126"/>
      <c r="T715" s="1126"/>
      <c r="U715" s="1126"/>
      <c r="V715" s="1126"/>
      <c r="W715" s="1126"/>
      <c r="X715" s="1126"/>
      <c r="Y715" s="1126"/>
      <c r="Z715" s="1126"/>
      <c r="AA715" s="1126"/>
    </row>
    <row r="716" ht="15.75" customHeight="1">
      <c r="A716" s="1126"/>
      <c r="B716" s="1126"/>
      <c r="C716" s="1126"/>
      <c r="D716" s="1126"/>
      <c r="E716" s="1126"/>
      <c r="F716" s="1126"/>
      <c r="G716" s="1126"/>
      <c r="H716" s="1126"/>
      <c r="I716" s="1126"/>
      <c r="J716" s="1126"/>
      <c r="K716" s="1126"/>
      <c r="L716" s="1126"/>
      <c r="M716" s="1126"/>
      <c r="N716" s="1126"/>
      <c r="O716" s="1126"/>
      <c r="P716" s="1126"/>
      <c r="Q716" s="1126"/>
      <c r="R716" s="1126"/>
      <c r="S716" s="1126"/>
      <c r="T716" s="1126"/>
      <c r="U716" s="1126"/>
      <c r="V716" s="1126"/>
      <c r="W716" s="1126"/>
      <c r="X716" s="1126"/>
      <c r="Y716" s="1126"/>
      <c r="Z716" s="1126"/>
      <c r="AA716" s="1126"/>
    </row>
    <row r="717" ht="15.75" customHeight="1">
      <c r="A717" s="1126"/>
      <c r="B717" s="1126"/>
      <c r="C717" s="1126"/>
      <c r="D717" s="1126"/>
      <c r="E717" s="1126"/>
      <c r="F717" s="1126"/>
      <c r="G717" s="1126"/>
      <c r="H717" s="1126"/>
      <c r="I717" s="1126"/>
      <c r="J717" s="1126"/>
      <c r="K717" s="1126"/>
      <c r="L717" s="1126"/>
      <c r="M717" s="1126"/>
      <c r="N717" s="1126"/>
      <c r="O717" s="1126"/>
      <c r="P717" s="1126"/>
      <c r="Q717" s="1126"/>
      <c r="R717" s="1126"/>
      <c r="S717" s="1126"/>
      <c r="T717" s="1126"/>
      <c r="U717" s="1126"/>
      <c r="V717" s="1126"/>
      <c r="W717" s="1126"/>
      <c r="X717" s="1126"/>
      <c r="Y717" s="1126"/>
      <c r="Z717" s="1126"/>
      <c r="AA717" s="1126"/>
    </row>
    <row r="718" ht="15.75" customHeight="1">
      <c r="A718" s="1126"/>
      <c r="B718" s="1126"/>
      <c r="C718" s="1126"/>
      <c r="D718" s="1126"/>
      <c r="E718" s="1126"/>
      <c r="F718" s="1126"/>
      <c r="G718" s="1126"/>
      <c r="H718" s="1126"/>
      <c r="I718" s="1126"/>
      <c r="J718" s="1126"/>
      <c r="K718" s="1126"/>
      <c r="L718" s="1126"/>
      <c r="M718" s="1126"/>
      <c r="N718" s="1126"/>
      <c r="O718" s="1126"/>
      <c r="P718" s="1126"/>
      <c r="Q718" s="1126"/>
      <c r="R718" s="1126"/>
      <c r="S718" s="1126"/>
      <c r="T718" s="1126"/>
      <c r="U718" s="1126"/>
      <c r="V718" s="1126"/>
      <c r="W718" s="1126"/>
      <c r="X718" s="1126"/>
      <c r="Y718" s="1126"/>
      <c r="Z718" s="1126"/>
      <c r="AA718" s="1126"/>
    </row>
    <row r="719" ht="15.75" customHeight="1">
      <c r="A719" s="1126"/>
      <c r="B719" s="1126"/>
      <c r="C719" s="1126"/>
      <c r="D719" s="1126"/>
      <c r="E719" s="1126"/>
      <c r="F719" s="1126"/>
      <c r="G719" s="1126"/>
      <c r="H719" s="1126"/>
      <c r="I719" s="1126"/>
      <c r="J719" s="1126"/>
      <c r="K719" s="1126"/>
      <c r="L719" s="1126"/>
      <c r="M719" s="1126"/>
      <c r="N719" s="1126"/>
      <c r="O719" s="1126"/>
      <c r="P719" s="1126"/>
      <c r="Q719" s="1126"/>
      <c r="R719" s="1126"/>
      <c r="S719" s="1126"/>
      <c r="T719" s="1126"/>
      <c r="U719" s="1126"/>
      <c r="V719" s="1126"/>
      <c r="W719" s="1126"/>
      <c r="X719" s="1126"/>
      <c r="Y719" s="1126"/>
      <c r="Z719" s="1126"/>
      <c r="AA719" s="1126"/>
    </row>
    <row r="720" ht="15.75" customHeight="1">
      <c r="A720" s="1126"/>
      <c r="B720" s="1126"/>
      <c r="C720" s="1126"/>
      <c r="D720" s="1126"/>
      <c r="E720" s="1126"/>
      <c r="F720" s="1126"/>
      <c r="G720" s="1126"/>
      <c r="H720" s="1126"/>
      <c r="I720" s="1126"/>
      <c r="J720" s="1126"/>
      <c r="K720" s="1126"/>
      <c r="L720" s="1126"/>
      <c r="M720" s="1126"/>
      <c r="N720" s="1126"/>
      <c r="O720" s="1126"/>
      <c r="P720" s="1126"/>
      <c r="Q720" s="1126"/>
      <c r="R720" s="1126"/>
      <c r="S720" s="1126"/>
      <c r="T720" s="1126"/>
      <c r="U720" s="1126"/>
      <c r="V720" s="1126"/>
      <c r="W720" s="1126"/>
      <c r="X720" s="1126"/>
      <c r="Y720" s="1126"/>
      <c r="Z720" s="1126"/>
      <c r="AA720" s="1126"/>
    </row>
    <row r="721" ht="15.75" customHeight="1">
      <c r="A721" s="1126"/>
      <c r="B721" s="1126"/>
      <c r="C721" s="1126"/>
      <c r="D721" s="1126"/>
      <c r="E721" s="1126"/>
      <c r="F721" s="1126"/>
      <c r="G721" s="1126"/>
      <c r="H721" s="1126"/>
      <c r="I721" s="1126"/>
      <c r="J721" s="1126"/>
      <c r="K721" s="1126"/>
      <c r="L721" s="1126"/>
      <c r="M721" s="1126"/>
      <c r="N721" s="1126"/>
      <c r="O721" s="1126"/>
      <c r="P721" s="1126"/>
      <c r="Q721" s="1126"/>
      <c r="R721" s="1126"/>
      <c r="S721" s="1126"/>
      <c r="T721" s="1126"/>
      <c r="U721" s="1126"/>
      <c r="V721" s="1126"/>
      <c r="W721" s="1126"/>
      <c r="X721" s="1126"/>
      <c r="Y721" s="1126"/>
      <c r="Z721" s="1126"/>
      <c r="AA721" s="1126"/>
    </row>
    <row r="722" ht="15.75" customHeight="1">
      <c r="A722" s="1126"/>
      <c r="B722" s="1126"/>
      <c r="C722" s="1126"/>
      <c r="D722" s="1126"/>
      <c r="E722" s="1126"/>
      <c r="F722" s="1126"/>
      <c r="G722" s="1126"/>
      <c r="H722" s="1126"/>
      <c r="I722" s="1126"/>
      <c r="J722" s="1126"/>
      <c r="K722" s="1126"/>
      <c r="L722" s="1126"/>
      <c r="M722" s="1126"/>
      <c r="N722" s="1126"/>
      <c r="O722" s="1126"/>
      <c r="P722" s="1126"/>
      <c r="Q722" s="1126"/>
      <c r="R722" s="1126"/>
      <c r="S722" s="1126"/>
      <c r="T722" s="1126"/>
      <c r="U722" s="1126"/>
      <c r="V722" s="1126"/>
      <c r="W722" s="1126"/>
      <c r="X722" s="1126"/>
      <c r="Y722" s="1126"/>
      <c r="Z722" s="1126"/>
      <c r="AA722" s="1126"/>
    </row>
    <row r="723" ht="15.75" customHeight="1">
      <c r="A723" s="1126"/>
      <c r="B723" s="1126"/>
      <c r="C723" s="1126"/>
      <c r="D723" s="1126"/>
      <c r="E723" s="1126"/>
      <c r="F723" s="1126"/>
      <c r="G723" s="1126"/>
      <c r="H723" s="1126"/>
      <c r="I723" s="1126"/>
      <c r="J723" s="1126"/>
      <c r="K723" s="1126"/>
      <c r="L723" s="1126"/>
      <c r="M723" s="1126"/>
      <c r="N723" s="1126"/>
      <c r="O723" s="1126"/>
      <c r="P723" s="1126"/>
      <c r="Q723" s="1126"/>
      <c r="R723" s="1126"/>
      <c r="S723" s="1126"/>
      <c r="T723" s="1126"/>
      <c r="U723" s="1126"/>
      <c r="V723" s="1126"/>
      <c r="W723" s="1126"/>
      <c r="X723" s="1126"/>
      <c r="Y723" s="1126"/>
      <c r="Z723" s="1126"/>
      <c r="AA723" s="1126"/>
    </row>
    <row r="724" ht="15.75" customHeight="1">
      <c r="A724" s="1126"/>
      <c r="B724" s="1126"/>
      <c r="C724" s="1126"/>
      <c r="D724" s="1126"/>
      <c r="E724" s="1126"/>
      <c r="F724" s="1126"/>
      <c r="G724" s="1126"/>
      <c r="H724" s="1126"/>
      <c r="I724" s="1126"/>
      <c r="J724" s="1126"/>
      <c r="K724" s="1126"/>
      <c r="L724" s="1126"/>
      <c r="M724" s="1126"/>
      <c r="N724" s="1126"/>
      <c r="O724" s="1126"/>
      <c r="P724" s="1126"/>
      <c r="Q724" s="1126"/>
      <c r="R724" s="1126"/>
      <c r="S724" s="1126"/>
      <c r="T724" s="1126"/>
      <c r="U724" s="1126"/>
      <c r="V724" s="1126"/>
      <c r="W724" s="1126"/>
      <c r="X724" s="1126"/>
      <c r="Y724" s="1126"/>
      <c r="Z724" s="1126"/>
      <c r="AA724" s="1126"/>
    </row>
    <row r="725" ht="15.75" customHeight="1">
      <c r="A725" s="1126"/>
      <c r="B725" s="1126"/>
      <c r="C725" s="1126"/>
      <c r="D725" s="1126"/>
      <c r="E725" s="1126"/>
      <c r="F725" s="1126"/>
      <c r="G725" s="1126"/>
      <c r="H725" s="1126"/>
      <c r="I725" s="1126"/>
      <c r="J725" s="1126"/>
      <c r="K725" s="1126"/>
      <c r="L725" s="1126"/>
      <c r="M725" s="1126"/>
      <c r="N725" s="1126"/>
      <c r="O725" s="1126"/>
      <c r="P725" s="1126"/>
      <c r="Q725" s="1126"/>
      <c r="R725" s="1126"/>
      <c r="S725" s="1126"/>
      <c r="T725" s="1126"/>
      <c r="U725" s="1126"/>
      <c r="V725" s="1126"/>
      <c r="W725" s="1126"/>
      <c r="X725" s="1126"/>
      <c r="Y725" s="1126"/>
      <c r="Z725" s="1126"/>
      <c r="AA725" s="1126"/>
    </row>
    <row r="726" ht="15.75" customHeight="1">
      <c r="A726" s="1126"/>
      <c r="B726" s="1126"/>
      <c r="C726" s="1126"/>
      <c r="D726" s="1126"/>
      <c r="E726" s="1126"/>
      <c r="F726" s="1126"/>
      <c r="G726" s="1126"/>
      <c r="H726" s="1126"/>
      <c r="I726" s="1126"/>
      <c r="J726" s="1126"/>
      <c r="K726" s="1126"/>
      <c r="L726" s="1126"/>
      <c r="M726" s="1126"/>
      <c r="N726" s="1126"/>
      <c r="O726" s="1126"/>
      <c r="P726" s="1126"/>
      <c r="Q726" s="1126"/>
      <c r="R726" s="1126"/>
      <c r="S726" s="1126"/>
      <c r="T726" s="1126"/>
      <c r="U726" s="1126"/>
      <c r="V726" s="1126"/>
      <c r="W726" s="1126"/>
      <c r="X726" s="1126"/>
      <c r="Y726" s="1126"/>
      <c r="Z726" s="1126"/>
      <c r="AA726" s="1126"/>
    </row>
    <row r="727" ht="15.75" customHeight="1">
      <c r="A727" s="1126"/>
      <c r="B727" s="1126"/>
      <c r="C727" s="1126"/>
      <c r="D727" s="1126"/>
      <c r="E727" s="1126"/>
      <c r="F727" s="1126"/>
      <c r="G727" s="1126"/>
      <c r="H727" s="1126"/>
      <c r="I727" s="1126"/>
      <c r="J727" s="1126"/>
      <c r="K727" s="1126"/>
      <c r="L727" s="1126"/>
      <c r="M727" s="1126"/>
      <c r="N727" s="1126"/>
      <c r="O727" s="1126"/>
      <c r="P727" s="1126"/>
      <c r="Q727" s="1126"/>
      <c r="R727" s="1126"/>
      <c r="S727" s="1126"/>
      <c r="T727" s="1126"/>
      <c r="U727" s="1126"/>
      <c r="V727" s="1126"/>
      <c r="W727" s="1126"/>
      <c r="X727" s="1126"/>
      <c r="Y727" s="1126"/>
      <c r="Z727" s="1126"/>
      <c r="AA727" s="1126"/>
    </row>
    <row r="728" ht="15.75" customHeight="1">
      <c r="A728" s="1126"/>
      <c r="B728" s="1126"/>
      <c r="C728" s="1126"/>
      <c r="D728" s="1126"/>
      <c r="E728" s="1126"/>
      <c r="F728" s="1126"/>
      <c r="G728" s="1126"/>
      <c r="H728" s="1126"/>
      <c r="I728" s="1126"/>
      <c r="J728" s="1126"/>
      <c r="K728" s="1126"/>
      <c r="L728" s="1126"/>
      <c r="M728" s="1126"/>
      <c r="N728" s="1126"/>
      <c r="O728" s="1126"/>
      <c r="P728" s="1126"/>
      <c r="Q728" s="1126"/>
      <c r="R728" s="1126"/>
      <c r="S728" s="1126"/>
      <c r="T728" s="1126"/>
      <c r="U728" s="1126"/>
      <c r="V728" s="1126"/>
      <c r="W728" s="1126"/>
      <c r="X728" s="1126"/>
      <c r="Y728" s="1126"/>
      <c r="Z728" s="1126"/>
      <c r="AA728" s="1126"/>
    </row>
    <row r="729" ht="15.75" customHeight="1">
      <c r="A729" s="1126"/>
      <c r="B729" s="1126"/>
      <c r="C729" s="1126"/>
      <c r="D729" s="1126"/>
      <c r="E729" s="1126"/>
      <c r="F729" s="1126"/>
      <c r="G729" s="1126"/>
      <c r="H729" s="1126"/>
      <c r="I729" s="1126"/>
      <c r="J729" s="1126"/>
      <c r="K729" s="1126"/>
      <c r="L729" s="1126"/>
      <c r="M729" s="1126"/>
      <c r="N729" s="1126"/>
      <c r="O729" s="1126"/>
      <c r="P729" s="1126"/>
      <c r="Q729" s="1126"/>
      <c r="R729" s="1126"/>
      <c r="S729" s="1126"/>
      <c r="T729" s="1126"/>
      <c r="U729" s="1126"/>
      <c r="V729" s="1126"/>
      <c r="W729" s="1126"/>
      <c r="X729" s="1126"/>
      <c r="Y729" s="1126"/>
      <c r="Z729" s="1126"/>
      <c r="AA729" s="1126"/>
    </row>
    <row r="730" ht="15.75" customHeight="1">
      <c r="A730" s="1126"/>
      <c r="B730" s="1126"/>
      <c r="C730" s="1126"/>
      <c r="D730" s="1126"/>
      <c r="E730" s="1126"/>
      <c r="F730" s="1126"/>
      <c r="G730" s="1126"/>
      <c r="H730" s="1126"/>
      <c r="I730" s="1126"/>
      <c r="J730" s="1126"/>
      <c r="K730" s="1126"/>
      <c r="L730" s="1126"/>
      <c r="M730" s="1126"/>
      <c r="N730" s="1126"/>
      <c r="O730" s="1126"/>
      <c r="P730" s="1126"/>
      <c r="Q730" s="1126"/>
      <c r="R730" s="1126"/>
      <c r="S730" s="1126"/>
      <c r="T730" s="1126"/>
      <c r="U730" s="1126"/>
      <c r="V730" s="1126"/>
      <c r="W730" s="1126"/>
      <c r="X730" s="1126"/>
      <c r="Y730" s="1126"/>
      <c r="Z730" s="1126"/>
      <c r="AA730" s="1126"/>
    </row>
    <row r="731" ht="15.75" customHeight="1">
      <c r="A731" s="1126"/>
      <c r="B731" s="1126"/>
      <c r="C731" s="1126"/>
      <c r="D731" s="1126"/>
      <c r="E731" s="1126"/>
      <c r="F731" s="1126"/>
      <c r="G731" s="1126"/>
      <c r="H731" s="1126"/>
      <c r="I731" s="1126"/>
      <c r="J731" s="1126"/>
      <c r="K731" s="1126"/>
      <c r="L731" s="1126"/>
      <c r="M731" s="1126"/>
      <c r="N731" s="1126"/>
      <c r="O731" s="1126"/>
      <c r="P731" s="1126"/>
      <c r="Q731" s="1126"/>
      <c r="R731" s="1126"/>
      <c r="S731" s="1126"/>
      <c r="T731" s="1126"/>
      <c r="U731" s="1126"/>
      <c r="V731" s="1126"/>
      <c r="W731" s="1126"/>
      <c r="X731" s="1126"/>
      <c r="Y731" s="1126"/>
      <c r="Z731" s="1126"/>
      <c r="AA731" s="1126"/>
    </row>
    <row r="732" ht="15.75" customHeight="1">
      <c r="A732" s="1126"/>
      <c r="B732" s="1126"/>
      <c r="C732" s="1126"/>
      <c r="D732" s="1126"/>
      <c r="E732" s="1126"/>
      <c r="F732" s="1126"/>
      <c r="G732" s="1126"/>
      <c r="H732" s="1126"/>
      <c r="I732" s="1126"/>
      <c r="J732" s="1126"/>
      <c r="K732" s="1126"/>
      <c r="L732" s="1126"/>
      <c r="M732" s="1126"/>
      <c r="N732" s="1126"/>
      <c r="O732" s="1126"/>
      <c r="P732" s="1126"/>
      <c r="Q732" s="1126"/>
      <c r="R732" s="1126"/>
      <c r="S732" s="1126"/>
      <c r="T732" s="1126"/>
      <c r="U732" s="1126"/>
      <c r="V732" s="1126"/>
      <c r="W732" s="1126"/>
      <c r="X732" s="1126"/>
      <c r="Y732" s="1126"/>
      <c r="Z732" s="1126"/>
      <c r="AA732" s="1126"/>
    </row>
    <row r="733" ht="15.75" customHeight="1">
      <c r="A733" s="1126"/>
      <c r="B733" s="1126"/>
      <c r="C733" s="1126"/>
      <c r="D733" s="1126"/>
      <c r="E733" s="1126"/>
      <c r="F733" s="1126"/>
      <c r="G733" s="1126"/>
      <c r="H733" s="1126"/>
      <c r="I733" s="1126"/>
      <c r="J733" s="1126"/>
      <c r="K733" s="1126"/>
      <c r="L733" s="1126"/>
      <c r="M733" s="1126"/>
      <c r="N733" s="1126"/>
      <c r="O733" s="1126"/>
      <c r="P733" s="1126"/>
      <c r="Q733" s="1126"/>
      <c r="R733" s="1126"/>
      <c r="S733" s="1126"/>
      <c r="T733" s="1126"/>
      <c r="U733" s="1126"/>
      <c r="V733" s="1126"/>
      <c r="W733" s="1126"/>
      <c r="X733" s="1126"/>
      <c r="Y733" s="1126"/>
      <c r="Z733" s="1126"/>
      <c r="AA733" s="1126"/>
    </row>
    <row r="734" ht="15.75" customHeight="1">
      <c r="A734" s="1126"/>
      <c r="B734" s="1126"/>
      <c r="C734" s="1126"/>
      <c r="D734" s="1126"/>
      <c r="E734" s="1126"/>
      <c r="F734" s="1126"/>
      <c r="G734" s="1126"/>
      <c r="H734" s="1126"/>
      <c r="I734" s="1126"/>
      <c r="J734" s="1126"/>
      <c r="K734" s="1126"/>
      <c r="L734" s="1126"/>
      <c r="M734" s="1126"/>
      <c r="N734" s="1126"/>
      <c r="O734" s="1126"/>
      <c r="P734" s="1126"/>
      <c r="Q734" s="1126"/>
      <c r="R734" s="1126"/>
      <c r="S734" s="1126"/>
      <c r="T734" s="1126"/>
      <c r="U734" s="1126"/>
      <c r="V734" s="1126"/>
      <c r="W734" s="1126"/>
      <c r="X734" s="1126"/>
      <c r="Y734" s="1126"/>
      <c r="Z734" s="1126"/>
      <c r="AA734" s="1126"/>
    </row>
    <row r="735" ht="15.75" customHeight="1">
      <c r="A735" s="1126"/>
      <c r="B735" s="1126"/>
      <c r="C735" s="1126"/>
      <c r="D735" s="1126"/>
      <c r="E735" s="1126"/>
      <c r="F735" s="1126"/>
      <c r="G735" s="1126"/>
      <c r="H735" s="1126"/>
      <c r="I735" s="1126"/>
      <c r="J735" s="1126"/>
      <c r="K735" s="1126"/>
      <c r="L735" s="1126"/>
      <c r="M735" s="1126"/>
      <c r="N735" s="1126"/>
      <c r="O735" s="1126"/>
      <c r="P735" s="1126"/>
      <c r="Q735" s="1126"/>
      <c r="R735" s="1126"/>
      <c r="S735" s="1126"/>
      <c r="T735" s="1126"/>
      <c r="U735" s="1126"/>
      <c r="V735" s="1126"/>
      <c r="W735" s="1126"/>
      <c r="X735" s="1126"/>
      <c r="Y735" s="1126"/>
      <c r="Z735" s="1126"/>
      <c r="AA735" s="1126"/>
    </row>
    <row r="736" ht="15.75" customHeight="1">
      <c r="A736" s="1126"/>
      <c r="B736" s="1126"/>
      <c r="C736" s="1126"/>
      <c r="D736" s="1126"/>
      <c r="E736" s="1126"/>
      <c r="F736" s="1126"/>
      <c r="G736" s="1126"/>
      <c r="H736" s="1126"/>
      <c r="I736" s="1126"/>
      <c r="J736" s="1126"/>
      <c r="K736" s="1126"/>
      <c r="L736" s="1126"/>
      <c r="M736" s="1126"/>
      <c r="N736" s="1126"/>
      <c r="O736" s="1126"/>
      <c r="P736" s="1126"/>
      <c r="Q736" s="1126"/>
      <c r="R736" s="1126"/>
      <c r="S736" s="1126"/>
      <c r="T736" s="1126"/>
      <c r="U736" s="1126"/>
      <c r="V736" s="1126"/>
      <c r="W736" s="1126"/>
      <c r="X736" s="1126"/>
      <c r="Y736" s="1126"/>
      <c r="Z736" s="1126"/>
      <c r="AA736" s="1126"/>
    </row>
    <row r="737" ht="15.75" customHeight="1">
      <c r="A737" s="1126"/>
      <c r="B737" s="1126"/>
      <c r="C737" s="1126"/>
      <c r="D737" s="1126"/>
      <c r="E737" s="1126"/>
      <c r="F737" s="1126"/>
      <c r="G737" s="1126"/>
      <c r="H737" s="1126"/>
      <c r="I737" s="1126"/>
      <c r="J737" s="1126"/>
      <c r="K737" s="1126"/>
      <c r="L737" s="1126"/>
      <c r="M737" s="1126"/>
      <c r="N737" s="1126"/>
      <c r="O737" s="1126"/>
      <c r="P737" s="1126"/>
      <c r="Q737" s="1126"/>
      <c r="R737" s="1126"/>
      <c r="S737" s="1126"/>
      <c r="T737" s="1126"/>
      <c r="U737" s="1126"/>
      <c r="V737" s="1126"/>
      <c r="W737" s="1126"/>
      <c r="X737" s="1126"/>
      <c r="Y737" s="1126"/>
      <c r="Z737" s="1126"/>
      <c r="AA737" s="1126"/>
    </row>
    <row r="738" ht="15.75" customHeight="1">
      <c r="A738" s="1126"/>
      <c r="B738" s="1126"/>
      <c r="C738" s="1126"/>
      <c r="D738" s="1126"/>
      <c r="E738" s="1126"/>
      <c r="F738" s="1126"/>
      <c r="G738" s="1126"/>
      <c r="H738" s="1126"/>
      <c r="I738" s="1126"/>
      <c r="J738" s="1126"/>
      <c r="K738" s="1126"/>
      <c r="L738" s="1126"/>
      <c r="M738" s="1126"/>
      <c r="N738" s="1126"/>
      <c r="O738" s="1126"/>
      <c r="P738" s="1126"/>
      <c r="Q738" s="1126"/>
      <c r="R738" s="1126"/>
      <c r="S738" s="1126"/>
      <c r="T738" s="1126"/>
      <c r="U738" s="1126"/>
      <c r="V738" s="1126"/>
      <c r="W738" s="1126"/>
      <c r="X738" s="1126"/>
      <c r="Y738" s="1126"/>
      <c r="Z738" s="1126"/>
      <c r="AA738" s="1126"/>
    </row>
    <row r="739" ht="15.75" customHeight="1">
      <c r="A739" s="1126"/>
      <c r="B739" s="1126"/>
      <c r="C739" s="1126"/>
      <c r="D739" s="1126"/>
      <c r="E739" s="1126"/>
      <c r="F739" s="1126"/>
      <c r="G739" s="1126"/>
      <c r="H739" s="1126"/>
      <c r="I739" s="1126"/>
      <c r="J739" s="1126"/>
      <c r="K739" s="1126"/>
      <c r="L739" s="1126"/>
      <c r="M739" s="1126"/>
      <c r="N739" s="1126"/>
      <c r="O739" s="1126"/>
      <c r="P739" s="1126"/>
      <c r="Q739" s="1126"/>
      <c r="R739" s="1126"/>
      <c r="S739" s="1126"/>
      <c r="T739" s="1126"/>
      <c r="U739" s="1126"/>
      <c r="V739" s="1126"/>
      <c r="W739" s="1126"/>
      <c r="X739" s="1126"/>
      <c r="Y739" s="1126"/>
      <c r="Z739" s="1126"/>
      <c r="AA739" s="1126"/>
    </row>
    <row r="740" ht="15.75" customHeight="1">
      <c r="A740" s="1126"/>
      <c r="B740" s="1126"/>
      <c r="C740" s="1126"/>
      <c r="D740" s="1126"/>
      <c r="E740" s="1126"/>
      <c r="F740" s="1126"/>
      <c r="G740" s="1126"/>
      <c r="H740" s="1126"/>
      <c r="I740" s="1126"/>
      <c r="J740" s="1126"/>
      <c r="K740" s="1126"/>
      <c r="L740" s="1126"/>
      <c r="M740" s="1126"/>
      <c r="N740" s="1126"/>
      <c r="O740" s="1126"/>
      <c r="P740" s="1126"/>
      <c r="Q740" s="1126"/>
      <c r="R740" s="1126"/>
      <c r="S740" s="1126"/>
      <c r="T740" s="1126"/>
      <c r="U740" s="1126"/>
      <c r="V740" s="1126"/>
      <c r="W740" s="1126"/>
      <c r="X740" s="1126"/>
      <c r="Y740" s="1126"/>
      <c r="Z740" s="1126"/>
      <c r="AA740" s="1126"/>
    </row>
    <row r="741" ht="15.75" customHeight="1">
      <c r="A741" s="1126"/>
      <c r="B741" s="1126"/>
      <c r="C741" s="1126"/>
      <c r="D741" s="1126"/>
      <c r="E741" s="1126"/>
      <c r="F741" s="1126"/>
      <c r="G741" s="1126"/>
      <c r="H741" s="1126"/>
      <c r="I741" s="1126"/>
      <c r="J741" s="1126"/>
      <c r="K741" s="1126"/>
      <c r="L741" s="1126"/>
      <c r="M741" s="1126"/>
      <c r="N741" s="1126"/>
      <c r="O741" s="1126"/>
      <c r="P741" s="1126"/>
      <c r="Q741" s="1126"/>
      <c r="R741" s="1126"/>
      <c r="S741" s="1126"/>
      <c r="T741" s="1126"/>
      <c r="U741" s="1126"/>
      <c r="V741" s="1126"/>
      <c r="W741" s="1126"/>
      <c r="X741" s="1126"/>
      <c r="Y741" s="1126"/>
      <c r="Z741" s="1126"/>
      <c r="AA741" s="1126"/>
    </row>
    <row r="742" ht="15.75" customHeight="1">
      <c r="A742" s="1126"/>
      <c r="B742" s="1126"/>
      <c r="C742" s="1126"/>
      <c r="D742" s="1126"/>
      <c r="E742" s="1126"/>
      <c r="F742" s="1126"/>
      <c r="G742" s="1126"/>
      <c r="H742" s="1126"/>
      <c r="I742" s="1126"/>
      <c r="J742" s="1126"/>
      <c r="K742" s="1126"/>
      <c r="L742" s="1126"/>
      <c r="M742" s="1126"/>
      <c r="N742" s="1126"/>
      <c r="O742" s="1126"/>
      <c r="P742" s="1126"/>
      <c r="Q742" s="1126"/>
      <c r="R742" s="1126"/>
      <c r="S742" s="1126"/>
      <c r="T742" s="1126"/>
      <c r="U742" s="1126"/>
      <c r="V742" s="1126"/>
      <c r="W742" s="1126"/>
      <c r="X742" s="1126"/>
      <c r="Y742" s="1126"/>
      <c r="Z742" s="1126"/>
      <c r="AA742" s="1126"/>
    </row>
    <row r="743" ht="15.75" customHeight="1">
      <c r="A743" s="1126"/>
      <c r="B743" s="1126"/>
      <c r="C743" s="1126"/>
      <c r="D743" s="1126"/>
      <c r="E743" s="1126"/>
      <c r="F743" s="1126"/>
      <c r="G743" s="1126"/>
      <c r="H743" s="1126"/>
      <c r="I743" s="1126"/>
      <c r="J743" s="1126"/>
      <c r="K743" s="1126"/>
      <c r="L743" s="1126"/>
      <c r="M743" s="1126"/>
      <c r="N743" s="1126"/>
      <c r="O743" s="1126"/>
      <c r="P743" s="1126"/>
      <c r="Q743" s="1126"/>
      <c r="R743" s="1126"/>
      <c r="S743" s="1126"/>
      <c r="T743" s="1126"/>
      <c r="U743" s="1126"/>
      <c r="V743" s="1126"/>
      <c r="W743" s="1126"/>
      <c r="X743" s="1126"/>
      <c r="Y743" s="1126"/>
      <c r="Z743" s="1126"/>
      <c r="AA743" s="1126"/>
    </row>
    <row r="744" ht="15.75" customHeight="1">
      <c r="A744" s="1126"/>
      <c r="B744" s="1126"/>
      <c r="C744" s="1126"/>
      <c r="D744" s="1126"/>
      <c r="E744" s="1126"/>
      <c r="F744" s="1126"/>
      <c r="G744" s="1126"/>
      <c r="H744" s="1126"/>
      <c r="I744" s="1126"/>
      <c r="J744" s="1126"/>
      <c r="K744" s="1126"/>
      <c r="L744" s="1126"/>
      <c r="M744" s="1126"/>
      <c r="N744" s="1126"/>
      <c r="O744" s="1126"/>
      <c r="P744" s="1126"/>
      <c r="Q744" s="1126"/>
      <c r="R744" s="1126"/>
      <c r="S744" s="1126"/>
      <c r="T744" s="1126"/>
      <c r="U744" s="1126"/>
      <c r="V744" s="1126"/>
      <c r="W744" s="1126"/>
      <c r="X744" s="1126"/>
      <c r="Y744" s="1126"/>
      <c r="Z744" s="1126"/>
      <c r="AA744" s="1126"/>
    </row>
    <row r="745" ht="15.75" customHeight="1">
      <c r="A745" s="1126"/>
      <c r="B745" s="1126"/>
      <c r="C745" s="1126"/>
      <c r="D745" s="1126"/>
      <c r="E745" s="1126"/>
      <c r="F745" s="1126"/>
      <c r="G745" s="1126"/>
      <c r="H745" s="1126"/>
      <c r="I745" s="1126"/>
      <c r="J745" s="1126"/>
      <c r="K745" s="1126"/>
      <c r="L745" s="1126"/>
      <c r="M745" s="1126"/>
      <c r="N745" s="1126"/>
      <c r="O745" s="1126"/>
      <c r="P745" s="1126"/>
      <c r="Q745" s="1126"/>
      <c r="R745" s="1126"/>
      <c r="S745" s="1126"/>
      <c r="T745" s="1126"/>
      <c r="U745" s="1126"/>
      <c r="V745" s="1126"/>
      <c r="W745" s="1126"/>
      <c r="X745" s="1126"/>
      <c r="Y745" s="1126"/>
      <c r="Z745" s="1126"/>
      <c r="AA745" s="1126"/>
    </row>
    <row r="746" ht="15.75" customHeight="1">
      <c r="A746" s="1126"/>
      <c r="B746" s="1126"/>
      <c r="C746" s="1126"/>
      <c r="D746" s="1126"/>
      <c r="E746" s="1126"/>
      <c r="F746" s="1126"/>
      <c r="G746" s="1126"/>
      <c r="H746" s="1126"/>
      <c r="I746" s="1126"/>
      <c r="J746" s="1126"/>
      <c r="K746" s="1126"/>
      <c r="L746" s="1126"/>
      <c r="M746" s="1126"/>
      <c r="N746" s="1126"/>
      <c r="O746" s="1126"/>
      <c r="P746" s="1126"/>
      <c r="Q746" s="1126"/>
      <c r="R746" s="1126"/>
      <c r="S746" s="1126"/>
      <c r="T746" s="1126"/>
      <c r="U746" s="1126"/>
      <c r="V746" s="1126"/>
      <c r="W746" s="1126"/>
      <c r="X746" s="1126"/>
      <c r="Y746" s="1126"/>
      <c r="Z746" s="1126"/>
      <c r="AA746" s="1126"/>
    </row>
    <row r="747" ht="15.75" customHeight="1">
      <c r="A747" s="1126"/>
      <c r="B747" s="1126"/>
      <c r="C747" s="1126"/>
      <c r="D747" s="1126"/>
      <c r="E747" s="1126"/>
      <c r="F747" s="1126"/>
      <c r="G747" s="1126"/>
      <c r="H747" s="1126"/>
      <c r="I747" s="1126"/>
      <c r="J747" s="1126"/>
      <c r="K747" s="1126"/>
      <c r="L747" s="1126"/>
      <c r="M747" s="1126"/>
      <c r="N747" s="1126"/>
      <c r="O747" s="1126"/>
      <c r="P747" s="1126"/>
      <c r="Q747" s="1126"/>
      <c r="R747" s="1126"/>
      <c r="S747" s="1126"/>
      <c r="T747" s="1126"/>
      <c r="U747" s="1126"/>
      <c r="V747" s="1126"/>
      <c r="W747" s="1126"/>
      <c r="X747" s="1126"/>
      <c r="Y747" s="1126"/>
      <c r="Z747" s="1126"/>
      <c r="AA747" s="1126"/>
    </row>
    <row r="748" ht="15.75" customHeight="1">
      <c r="A748" s="1126"/>
      <c r="B748" s="1126"/>
      <c r="C748" s="1126"/>
      <c r="D748" s="1126"/>
      <c r="E748" s="1126"/>
      <c r="F748" s="1126"/>
      <c r="G748" s="1126"/>
      <c r="H748" s="1126"/>
      <c r="I748" s="1126"/>
      <c r="J748" s="1126"/>
      <c r="K748" s="1126"/>
      <c r="L748" s="1126"/>
      <c r="M748" s="1126"/>
      <c r="N748" s="1126"/>
      <c r="O748" s="1126"/>
      <c r="P748" s="1126"/>
      <c r="Q748" s="1126"/>
      <c r="R748" s="1126"/>
      <c r="S748" s="1126"/>
      <c r="T748" s="1126"/>
      <c r="U748" s="1126"/>
      <c r="V748" s="1126"/>
      <c r="W748" s="1126"/>
      <c r="X748" s="1126"/>
      <c r="Y748" s="1126"/>
      <c r="Z748" s="1126"/>
      <c r="AA748" s="1126"/>
    </row>
    <row r="749" ht="15.75" customHeight="1">
      <c r="A749" s="1126"/>
      <c r="B749" s="1126"/>
      <c r="C749" s="1126"/>
      <c r="D749" s="1126"/>
      <c r="E749" s="1126"/>
      <c r="F749" s="1126"/>
      <c r="G749" s="1126"/>
      <c r="H749" s="1126"/>
      <c r="I749" s="1126"/>
      <c r="J749" s="1126"/>
      <c r="K749" s="1126"/>
      <c r="L749" s="1126"/>
      <c r="M749" s="1126"/>
      <c r="N749" s="1126"/>
      <c r="O749" s="1126"/>
      <c r="P749" s="1126"/>
      <c r="Q749" s="1126"/>
      <c r="R749" s="1126"/>
      <c r="S749" s="1126"/>
      <c r="T749" s="1126"/>
      <c r="U749" s="1126"/>
      <c r="V749" s="1126"/>
      <c r="W749" s="1126"/>
      <c r="X749" s="1126"/>
      <c r="Y749" s="1126"/>
      <c r="Z749" s="1126"/>
      <c r="AA749" s="1126"/>
    </row>
    <row r="750" ht="15.75" customHeight="1">
      <c r="A750" s="1126"/>
      <c r="B750" s="1126"/>
      <c r="C750" s="1126"/>
      <c r="D750" s="1126"/>
      <c r="E750" s="1126"/>
      <c r="F750" s="1126"/>
      <c r="G750" s="1126"/>
      <c r="H750" s="1126"/>
      <c r="I750" s="1126"/>
      <c r="J750" s="1126"/>
      <c r="K750" s="1126"/>
      <c r="L750" s="1126"/>
      <c r="M750" s="1126"/>
      <c r="N750" s="1126"/>
      <c r="O750" s="1126"/>
      <c r="P750" s="1126"/>
      <c r="Q750" s="1126"/>
      <c r="R750" s="1126"/>
      <c r="S750" s="1126"/>
      <c r="T750" s="1126"/>
      <c r="U750" s="1126"/>
      <c r="V750" s="1126"/>
      <c r="W750" s="1126"/>
      <c r="X750" s="1126"/>
      <c r="Y750" s="1126"/>
      <c r="Z750" s="1126"/>
      <c r="AA750" s="1126"/>
    </row>
    <row r="751" ht="15.75" customHeight="1">
      <c r="A751" s="1126"/>
      <c r="B751" s="1126"/>
      <c r="C751" s="1126"/>
      <c r="D751" s="1126"/>
      <c r="E751" s="1126"/>
      <c r="F751" s="1126"/>
      <c r="G751" s="1126"/>
      <c r="H751" s="1126"/>
      <c r="I751" s="1126"/>
      <c r="J751" s="1126"/>
      <c r="K751" s="1126"/>
      <c r="L751" s="1126"/>
      <c r="M751" s="1126"/>
      <c r="N751" s="1126"/>
      <c r="O751" s="1126"/>
      <c r="P751" s="1126"/>
      <c r="Q751" s="1126"/>
      <c r="R751" s="1126"/>
      <c r="S751" s="1126"/>
      <c r="T751" s="1126"/>
      <c r="U751" s="1126"/>
      <c r="V751" s="1126"/>
      <c r="W751" s="1126"/>
      <c r="X751" s="1126"/>
      <c r="Y751" s="1126"/>
      <c r="Z751" s="1126"/>
      <c r="AA751" s="1126"/>
    </row>
    <row r="752" ht="15.75" customHeight="1">
      <c r="A752" s="1126"/>
      <c r="B752" s="1126"/>
      <c r="C752" s="1126"/>
      <c r="D752" s="1126"/>
      <c r="E752" s="1126"/>
      <c r="F752" s="1126"/>
      <c r="G752" s="1126"/>
      <c r="H752" s="1126"/>
      <c r="I752" s="1126"/>
      <c r="J752" s="1126"/>
      <c r="K752" s="1126"/>
      <c r="L752" s="1126"/>
      <c r="M752" s="1126"/>
      <c r="N752" s="1126"/>
      <c r="O752" s="1126"/>
      <c r="P752" s="1126"/>
      <c r="Q752" s="1126"/>
      <c r="R752" s="1126"/>
      <c r="S752" s="1126"/>
      <c r="T752" s="1126"/>
      <c r="U752" s="1126"/>
      <c r="V752" s="1126"/>
      <c r="W752" s="1126"/>
      <c r="X752" s="1126"/>
      <c r="Y752" s="1126"/>
      <c r="Z752" s="1126"/>
      <c r="AA752" s="1126"/>
    </row>
    <row r="753" ht="15.75" customHeight="1">
      <c r="A753" s="1126"/>
      <c r="B753" s="1126"/>
      <c r="C753" s="1126"/>
      <c r="D753" s="1126"/>
      <c r="E753" s="1126"/>
      <c r="F753" s="1126"/>
      <c r="G753" s="1126"/>
      <c r="H753" s="1126"/>
      <c r="I753" s="1126"/>
      <c r="J753" s="1126"/>
      <c r="K753" s="1126"/>
      <c r="L753" s="1126"/>
      <c r="M753" s="1126"/>
      <c r="N753" s="1126"/>
      <c r="O753" s="1126"/>
      <c r="P753" s="1126"/>
      <c r="Q753" s="1126"/>
      <c r="R753" s="1126"/>
      <c r="S753" s="1126"/>
      <c r="T753" s="1126"/>
      <c r="U753" s="1126"/>
      <c r="V753" s="1126"/>
      <c r="W753" s="1126"/>
      <c r="X753" s="1126"/>
      <c r="Y753" s="1126"/>
      <c r="Z753" s="1126"/>
      <c r="AA753" s="1126"/>
    </row>
    <row r="754" ht="15.75" customHeight="1">
      <c r="A754" s="1126"/>
      <c r="B754" s="1126"/>
      <c r="C754" s="1126"/>
      <c r="D754" s="1126"/>
      <c r="E754" s="1126"/>
      <c r="F754" s="1126"/>
      <c r="G754" s="1126"/>
      <c r="H754" s="1126"/>
      <c r="I754" s="1126"/>
      <c r="J754" s="1126"/>
      <c r="K754" s="1126"/>
      <c r="L754" s="1126"/>
      <c r="M754" s="1126"/>
      <c r="N754" s="1126"/>
      <c r="O754" s="1126"/>
      <c r="P754" s="1126"/>
      <c r="Q754" s="1126"/>
      <c r="R754" s="1126"/>
      <c r="S754" s="1126"/>
      <c r="T754" s="1126"/>
      <c r="U754" s="1126"/>
      <c r="V754" s="1126"/>
      <c r="W754" s="1126"/>
      <c r="X754" s="1126"/>
      <c r="Y754" s="1126"/>
      <c r="Z754" s="1126"/>
      <c r="AA754" s="1126"/>
    </row>
    <row r="755" ht="15.75" customHeight="1">
      <c r="A755" s="1126"/>
      <c r="B755" s="1126"/>
      <c r="C755" s="1126"/>
      <c r="D755" s="1126"/>
      <c r="E755" s="1126"/>
      <c r="F755" s="1126"/>
      <c r="G755" s="1126"/>
      <c r="H755" s="1126"/>
      <c r="I755" s="1126"/>
      <c r="J755" s="1126"/>
      <c r="K755" s="1126"/>
      <c r="L755" s="1126"/>
      <c r="M755" s="1126"/>
      <c r="N755" s="1126"/>
      <c r="O755" s="1126"/>
      <c r="P755" s="1126"/>
      <c r="Q755" s="1126"/>
      <c r="R755" s="1126"/>
      <c r="S755" s="1126"/>
      <c r="T755" s="1126"/>
      <c r="U755" s="1126"/>
      <c r="V755" s="1126"/>
      <c r="W755" s="1126"/>
      <c r="X755" s="1126"/>
      <c r="Y755" s="1126"/>
      <c r="Z755" s="1126"/>
      <c r="AA755" s="1126"/>
    </row>
    <row r="756" ht="15.75" customHeight="1">
      <c r="A756" s="1126"/>
      <c r="B756" s="1126"/>
      <c r="C756" s="1126"/>
      <c r="D756" s="1126"/>
      <c r="E756" s="1126"/>
      <c r="F756" s="1126"/>
      <c r="G756" s="1126"/>
      <c r="H756" s="1126"/>
      <c r="I756" s="1126"/>
      <c r="J756" s="1126"/>
      <c r="K756" s="1126"/>
      <c r="L756" s="1126"/>
      <c r="M756" s="1126"/>
      <c r="N756" s="1126"/>
      <c r="O756" s="1126"/>
      <c r="P756" s="1126"/>
      <c r="Q756" s="1126"/>
      <c r="R756" s="1126"/>
      <c r="S756" s="1126"/>
      <c r="T756" s="1126"/>
      <c r="U756" s="1126"/>
      <c r="V756" s="1126"/>
      <c r="W756" s="1126"/>
      <c r="X756" s="1126"/>
      <c r="Y756" s="1126"/>
      <c r="Z756" s="1126"/>
      <c r="AA756" s="1126"/>
    </row>
    <row r="757" ht="15.75" customHeight="1">
      <c r="A757" s="1126"/>
      <c r="B757" s="1126"/>
      <c r="C757" s="1126"/>
      <c r="D757" s="1126"/>
      <c r="E757" s="1126"/>
      <c r="F757" s="1126"/>
      <c r="G757" s="1126"/>
      <c r="H757" s="1126"/>
      <c r="I757" s="1126"/>
      <c r="J757" s="1126"/>
      <c r="K757" s="1126"/>
      <c r="L757" s="1126"/>
      <c r="M757" s="1126"/>
      <c r="N757" s="1126"/>
      <c r="O757" s="1126"/>
      <c r="P757" s="1126"/>
      <c r="Q757" s="1126"/>
      <c r="R757" s="1126"/>
      <c r="S757" s="1126"/>
      <c r="T757" s="1126"/>
      <c r="U757" s="1126"/>
      <c r="V757" s="1126"/>
      <c r="W757" s="1126"/>
      <c r="X757" s="1126"/>
      <c r="Y757" s="1126"/>
      <c r="Z757" s="1126"/>
      <c r="AA757" s="1126"/>
    </row>
    <row r="758" ht="15.75" customHeight="1">
      <c r="A758" s="1126"/>
      <c r="B758" s="1126"/>
      <c r="C758" s="1126"/>
      <c r="D758" s="1126"/>
      <c r="E758" s="1126"/>
      <c r="F758" s="1126"/>
      <c r="G758" s="1126"/>
      <c r="H758" s="1126"/>
      <c r="I758" s="1126"/>
      <c r="J758" s="1126"/>
      <c r="K758" s="1126"/>
      <c r="L758" s="1126"/>
      <c r="M758" s="1126"/>
      <c r="N758" s="1126"/>
      <c r="O758" s="1126"/>
      <c r="P758" s="1126"/>
      <c r="Q758" s="1126"/>
      <c r="R758" s="1126"/>
      <c r="S758" s="1126"/>
      <c r="T758" s="1126"/>
      <c r="U758" s="1126"/>
      <c r="V758" s="1126"/>
      <c r="W758" s="1126"/>
      <c r="X758" s="1126"/>
      <c r="Y758" s="1126"/>
      <c r="Z758" s="1126"/>
      <c r="AA758" s="1126"/>
    </row>
    <row r="759" ht="15.75" customHeight="1">
      <c r="A759" s="1126"/>
      <c r="B759" s="1126"/>
      <c r="C759" s="1126"/>
      <c r="D759" s="1126"/>
      <c r="E759" s="1126"/>
      <c r="F759" s="1126"/>
      <c r="G759" s="1126"/>
      <c r="H759" s="1126"/>
      <c r="I759" s="1126"/>
      <c r="J759" s="1126"/>
      <c r="K759" s="1126"/>
      <c r="L759" s="1126"/>
      <c r="M759" s="1126"/>
      <c r="N759" s="1126"/>
      <c r="O759" s="1126"/>
      <c r="P759" s="1126"/>
      <c r="Q759" s="1126"/>
      <c r="R759" s="1126"/>
      <c r="S759" s="1126"/>
      <c r="T759" s="1126"/>
      <c r="U759" s="1126"/>
      <c r="V759" s="1126"/>
      <c r="W759" s="1126"/>
      <c r="X759" s="1126"/>
      <c r="Y759" s="1126"/>
      <c r="Z759" s="1126"/>
      <c r="AA759" s="1126"/>
    </row>
    <row r="760" ht="15.75" customHeight="1">
      <c r="A760" s="1126"/>
      <c r="B760" s="1126"/>
      <c r="C760" s="1126"/>
      <c r="D760" s="1126"/>
      <c r="E760" s="1126"/>
      <c r="F760" s="1126"/>
      <c r="G760" s="1126"/>
      <c r="H760" s="1126"/>
      <c r="I760" s="1126"/>
      <c r="J760" s="1126"/>
      <c r="K760" s="1126"/>
      <c r="L760" s="1126"/>
      <c r="M760" s="1126"/>
      <c r="N760" s="1126"/>
      <c r="O760" s="1126"/>
      <c r="P760" s="1126"/>
      <c r="Q760" s="1126"/>
      <c r="R760" s="1126"/>
      <c r="S760" s="1126"/>
      <c r="T760" s="1126"/>
      <c r="U760" s="1126"/>
      <c r="V760" s="1126"/>
      <c r="W760" s="1126"/>
      <c r="X760" s="1126"/>
      <c r="Y760" s="1126"/>
      <c r="Z760" s="1126"/>
      <c r="AA760" s="1126"/>
    </row>
    <row r="761" ht="15.75" customHeight="1">
      <c r="A761" s="1126"/>
      <c r="B761" s="1126"/>
      <c r="C761" s="1126"/>
      <c r="D761" s="1126"/>
      <c r="E761" s="1126"/>
      <c r="F761" s="1126"/>
      <c r="G761" s="1126"/>
      <c r="H761" s="1126"/>
      <c r="I761" s="1126"/>
      <c r="J761" s="1126"/>
      <c r="K761" s="1126"/>
      <c r="L761" s="1126"/>
      <c r="M761" s="1126"/>
      <c r="N761" s="1126"/>
      <c r="O761" s="1126"/>
      <c r="P761" s="1126"/>
      <c r="Q761" s="1126"/>
      <c r="R761" s="1126"/>
      <c r="S761" s="1126"/>
      <c r="T761" s="1126"/>
      <c r="U761" s="1126"/>
      <c r="V761" s="1126"/>
      <c r="W761" s="1126"/>
      <c r="X761" s="1126"/>
      <c r="Y761" s="1126"/>
      <c r="Z761" s="1126"/>
      <c r="AA761" s="1126"/>
    </row>
    <row r="762" ht="15.75" customHeight="1">
      <c r="A762" s="1126"/>
      <c r="B762" s="1126"/>
      <c r="C762" s="1126"/>
      <c r="D762" s="1126"/>
      <c r="E762" s="1126"/>
      <c r="F762" s="1126"/>
      <c r="G762" s="1126"/>
      <c r="H762" s="1126"/>
      <c r="I762" s="1126"/>
      <c r="J762" s="1126"/>
      <c r="K762" s="1126"/>
      <c r="L762" s="1126"/>
      <c r="M762" s="1126"/>
      <c r="N762" s="1126"/>
      <c r="O762" s="1126"/>
      <c r="P762" s="1126"/>
      <c r="Q762" s="1126"/>
      <c r="R762" s="1126"/>
      <c r="S762" s="1126"/>
      <c r="T762" s="1126"/>
      <c r="U762" s="1126"/>
      <c r="V762" s="1126"/>
      <c r="W762" s="1126"/>
      <c r="X762" s="1126"/>
      <c r="Y762" s="1126"/>
      <c r="Z762" s="1126"/>
      <c r="AA762" s="1126"/>
    </row>
    <row r="763" ht="15.75" customHeight="1">
      <c r="A763" s="1126"/>
      <c r="B763" s="1126"/>
      <c r="C763" s="1126"/>
      <c r="D763" s="1126"/>
      <c r="E763" s="1126"/>
      <c r="F763" s="1126"/>
      <c r="G763" s="1126"/>
      <c r="H763" s="1126"/>
      <c r="I763" s="1126"/>
      <c r="J763" s="1126"/>
      <c r="K763" s="1126"/>
      <c r="L763" s="1126"/>
      <c r="M763" s="1126"/>
      <c r="N763" s="1126"/>
      <c r="O763" s="1126"/>
      <c r="P763" s="1126"/>
      <c r="Q763" s="1126"/>
      <c r="R763" s="1126"/>
      <c r="S763" s="1126"/>
      <c r="T763" s="1126"/>
      <c r="U763" s="1126"/>
      <c r="V763" s="1126"/>
      <c r="W763" s="1126"/>
      <c r="X763" s="1126"/>
      <c r="Y763" s="1126"/>
      <c r="Z763" s="1126"/>
      <c r="AA763" s="1126"/>
    </row>
    <row r="764" ht="15.75" customHeight="1">
      <c r="A764" s="1126"/>
      <c r="B764" s="1126"/>
      <c r="C764" s="1126"/>
      <c r="D764" s="1126"/>
      <c r="E764" s="1126"/>
      <c r="F764" s="1126"/>
      <c r="G764" s="1126"/>
      <c r="H764" s="1126"/>
      <c r="I764" s="1126"/>
      <c r="J764" s="1126"/>
      <c r="K764" s="1126"/>
      <c r="L764" s="1126"/>
      <c r="M764" s="1126"/>
      <c r="N764" s="1126"/>
      <c r="O764" s="1126"/>
      <c r="P764" s="1126"/>
      <c r="Q764" s="1126"/>
      <c r="R764" s="1126"/>
      <c r="S764" s="1126"/>
      <c r="T764" s="1126"/>
      <c r="U764" s="1126"/>
      <c r="V764" s="1126"/>
      <c r="W764" s="1126"/>
      <c r="X764" s="1126"/>
      <c r="Y764" s="1126"/>
      <c r="Z764" s="1126"/>
      <c r="AA764" s="1126"/>
    </row>
    <row r="765" ht="15.75" customHeight="1">
      <c r="A765" s="1126"/>
      <c r="B765" s="1126"/>
      <c r="C765" s="1126"/>
      <c r="D765" s="1126"/>
      <c r="E765" s="1126"/>
      <c r="F765" s="1126"/>
      <c r="G765" s="1126"/>
      <c r="H765" s="1126"/>
      <c r="I765" s="1126"/>
      <c r="J765" s="1126"/>
      <c r="K765" s="1126"/>
      <c r="L765" s="1126"/>
      <c r="M765" s="1126"/>
      <c r="N765" s="1126"/>
      <c r="O765" s="1126"/>
      <c r="P765" s="1126"/>
      <c r="Q765" s="1126"/>
      <c r="R765" s="1126"/>
      <c r="S765" s="1126"/>
      <c r="T765" s="1126"/>
      <c r="U765" s="1126"/>
      <c r="V765" s="1126"/>
      <c r="W765" s="1126"/>
      <c r="X765" s="1126"/>
      <c r="Y765" s="1126"/>
      <c r="Z765" s="1126"/>
      <c r="AA765" s="1126"/>
    </row>
    <row r="766" ht="15.75" customHeight="1">
      <c r="A766" s="1126"/>
      <c r="B766" s="1126"/>
      <c r="C766" s="1126"/>
      <c r="D766" s="1126"/>
      <c r="E766" s="1126"/>
      <c r="F766" s="1126"/>
      <c r="G766" s="1126"/>
      <c r="H766" s="1126"/>
      <c r="I766" s="1126"/>
      <c r="J766" s="1126"/>
      <c r="K766" s="1126"/>
      <c r="L766" s="1126"/>
      <c r="M766" s="1126"/>
      <c r="N766" s="1126"/>
      <c r="O766" s="1126"/>
      <c r="P766" s="1126"/>
      <c r="Q766" s="1126"/>
      <c r="R766" s="1126"/>
      <c r="S766" s="1126"/>
      <c r="T766" s="1126"/>
      <c r="U766" s="1126"/>
      <c r="V766" s="1126"/>
      <c r="W766" s="1126"/>
      <c r="X766" s="1126"/>
      <c r="Y766" s="1126"/>
      <c r="Z766" s="1126"/>
      <c r="AA766" s="1126"/>
    </row>
    <row r="767" ht="15.75" customHeight="1">
      <c r="A767" s="1126"/>
      <c r="B767" s="1126"/>
      <c r="C767" s="1126"/>
      <c r="D767" s="1126"/>
      <c r="E767" s="1126"/>
      <c r="F767" s="1126"/>
      <c r="G767" s="1126"/>
      <c r="H767" s="1126"/>
      <c r="I767" s="1126"/>
      <c r="J767" s="1126"/>
      <c r="K767" s="1126"/>
      <c r="L767" s="1126"/>
      <c r="M767" s="1126"/>
      <c r="N767" s="1126"/>
      <c r="O767" s="1126"/>
      <c r="P767" s="1126"/>
      <c r="Q767" s="1126"/>
      <c r="R767" s="1126"/>
      <c r="S767" s="1126"/>
      <c r="T767" s="1126"/>
      <c r="U767" s="1126"/>
      <c r="V767" s="1126"/>
      <c r="W767" s="1126"/>
      <c r="X767" s="1126"/>
      <c r="Y767" s="1126"/>
      <c r="Z767" s="1126"/>
      <c r="AA767" s="1126"/>
    </row>
    <row r="768" ht="15.75" customHeight="1">
      <c r="A768" s="1126"/>
      <c r="B768" s="1126"/>
      <c r="C768" s="1126"/>
      <c r="D768" s="1126"/>
      <c r="E768" s="1126"/>
      <c r="F768" s="1126"/>
      <c r="G768" s="1126"/>
      <c r="H768" s="1126"/>
      <c r="I768" s="1126"/>
      <c r="J768" s="1126"/>
      <c r="K768" s="1126"/>
      <c r="L768" s="1126"/>
      <c r="M768" s="1126"/>
      <c r="N768" s="1126"/>
      <c r="O768" s="1126"/>
      <c r="P768" s="1126"/>
      <c r="Q768" s="1126"/>
      <c r="R768" s="1126"/>
      <c r="S768" s="1126"/>
      <c r="T768" s="1126"/>
      <c r="U768" s="1126"/>
      <c r="V768" s="1126"/>
      <c r="W768" s="1126"/>
      <c r="X768" s="1126"/>
      <c r="Y768" s="1126"/>
      <c r="Z768" s="1126"/>
      <c r="AA768" s="1126"/>
    </row>
    <row r="769" ht="15.75" customHeight="1">
      <c r="A769" s="1126"/>
      <c r="B769" s="1126"/>
      <c r="C769" s="1126"/>
      <c r="D769" s="1126"/>
      <c r="E769" s="1126"/>
      <c r="F769" s="1126"/>
      <c r="G769" s="1126"/>
      <c r="H769" s="1126"/>
      <c r="I769" s="1126"/>
      <c r="J769" s="1126"/>
      <c r="K769" s="1126"/>
      <c r="L769" s="1126"/>
      <c r="M769" s="1126"/>
      <c r="N769" s="1126"/>
      <c r="O769" s="1126"/>
      <c r="P769" s="1126"/>
      <c r="Q769" s="1126"/>
      <c r="R769" s="1126"/>
      <c r="S769" s="1126"/>
      <c r="T769" s="1126"/>
      <c r="U769" s="1126"/>
      <c r="V769" s="1126"/>
      <c r="W769" s="1126"/>
      <c r="X769" s="1126"/>
      <c r="Y769" s="1126"/>
      <c r="Z769" s="1126"/>
      <c r="AA769" s="1126"/>
    </row>
    <row r="770" ht="15.75" customHeight="1">
      <c r="A770" s="1126"/>
      <c r="B770" s="1126"/>
      <c r="C770" s="1126"/>
      <c r="D770" s="1126"/>
      <c r="E770" s="1126"/>
      <c r="F770" s="1126"/>
      <c r="G770" s="1126"/>
      <c r="H770" s="1126"/>
      <c r="I770" s="1126"/>
      <c r="J770" s="1126"/>
      <c r="K770" s="1126"/>
      <c r="L770" s="1126"/>
      <c r="M770" s="1126"/>
      <c r="N770" s="1126"/>
      <c r="O770" s="1126"/>
      <c r="P770" s="1126"/>
      <c r="Q770" s="1126"/>
      <c r="R770" s="1126"/>
      <c r="S770" s="1126"/>
      <c r="T770" s="1126"/>
      <c r="U770" s="1126"/>
      <c r="V770" s="1126"/>
      <c r="W770" s="1126"/>
      <c r="X770" s="1126"/>
      <c r="Y770" s="1126"/>
      <c r="Z770" s="1126"/>
      <c r="AA770" s="1126"/>
    </row>
    <row r="771" ht="15.75" customHeight="1">
      <c r="A771" s="1126"/>
      <c r="B771" s="1126"/>
      <c r="C771" s="1126"/>
      <c r="D771" s="1126"/>
      <c r="E771" s="1126"/>
      <c r="F771" s="1126"/>
      <c r="G771" s="1126"/>
      <c r="H771" s="1126"/>
      <c r="I771" s="1126"/>
      <c r="J771" s="1126"/>
      <c r="K771" s="1126"/>
      <c r="L771" s="1126"/>
      <c r="M771" s="1126"/>
      <c r="N771" s="1126"/>
      <c r="O771" s="1126"/>
      <c r="P771" s="1126"/>
      <c r="Q771" s="1126"/>
      <c r="R771" s="1126"/>
      <c r="S771" s="1126"/>
      <c r="T771" s="1126"/>
      <c r="U771" s="1126"/>
      <c r="V771" s="1126"/>
      <c r="W771" s="1126"/>
      <c r="X771" s="1126"/>
      <c r="Y771" s="1126"/>
      <c r="Z771" s="1126"/>
      <c r="AA771" s="1126"/>
    </row>
    <row r="772" ht="15.75" customHeight="1">
      <c r="A772" s="1126"/>
      <c r="B772" s="1126"/>
      <c r="C772" s="1126"/>
      <c r="D772" s="1126"/>
      <c r="E772" s="1126"/>
      <c r="F772" s="1126"/>
      <c r="G772" s="1126"/>
      <c r="H772" s="1126"/>
      <c r="I772" s="1126"/>
      <c r="J772" s="1126"/>
      <c r="K772" s="1126"/>
      <c r="L772" s="1126"/>
      <c r="M772" s="1126"/>
      <c r="N772" s="1126"/>
      <c r="O772" s="1126"/>
      <c r="P772" s="1126"/>
      <c r="Q772" s="1126"/>
      <c r="R772" s="1126"/>
      <c r="S772" s="1126"/>
      <c r="T772" s="1126"/>
      <c r="U772" s="1126"/>
      <c r="V772" s="1126"/>
      <c r="W772" s="1126"/>
      <c r="X772" s="1126"/>
      <c r="Y772" s="1126"/>
      <c r="Z772" s="1126"/>
      <c r="AA772" s="1126"/>
    </row>
    <row r="773" ht="15.75" customHeight="1">
      <c r="A773" s="1126"/>
      <c r="B773" s="1126"/>
      <c r="C773" s="1126"/>
      <c r="D773" s="1126"/>
      <c r="E773" s="1126"/>
      <c r="F773" s="1126"/>
      <c r="G773" s="1126"/>
      <c r="H773" s="1126"/>
      <c r="I773" s="1126"/>
      <c r="J773" s="1126"/>
      <c r="K773" s="1126"/>
      <c r="L773" s="1126"/>
      <c r="M773" s="1126"/>
      <c r="N773" s="1126"/>
      <c r="O773" s="1126"/>
      <c r="P773" s="1126"/>
      <c r="Q773" s="1126"/>
      <c r="R773" s="1126"/>
      <c r="S773" s="1126"/>
      <c r="T773" s="1126"/>
      <c r="U773" s="1126"/>
      <c r="V773" s="1126"/>
      <c r="W773" s="1126"/>
      <c r="X773" s="1126"/>
      <c r="Y773" s="1126"/>
      <c r="Z773" s="1126"/>
      <c r="AA773" s="1126"/>
    </row>
    <row r="774" ht="15.75" customHeight="1">
      <c r="A774" s="1126"/>
      <c r="B774" s="1126"/>
      <c r="C774" s="1126"/>
      <c r="D774" s="1126"/>
      <c r="E774" s="1126"/>
      <c r="F774" s="1126"/>
      <c r="G774" s="1126"/>
      <c r="H774" s="1126"/>
      <c r="I774" s="1126"/>
      <c r="J774" s="1126"/>
      <c r="K774" s="1126"/>
      <c r="L774" s="1126"/>
      <c r="M774" s="1126"/>
      <c r="N774" s="1126"/>
      <c r="O774" s="1126"/>
      <c r="P774" s="1126"/>
      <c r="Q774" s="1126"/>
      <c r="R774" s="1126"/>
      <c r="S774" s="1126"/>
      <c r="T774" s="1126"/>
      <c r="U774" s="1126"/>
      <c r="V774" s="1126"/>
      <c r="W774" s="1126"/>
      <c r="X774" s="1126"/>
      <c r="Y774" s="1126"/>
      <c r="Z774" s="1126"/>
      <c r="AA774" s="1126"/>
    </row>
    <row r="775" ht="15.75" customHeight="1">
      <c r="A775" s="1126"/>
      <c r="B775" s="1126"/>
      <c r="C775" s="1126"/>
      <c r="D775" s="1126"/>
      <c r="E775" s="1126"/>
      <c r="F775" s="1126"/>
      <c r="G775" s="1126"/>
      <c r="H775" s="1126"/>
      <c r="I775" s="1126"/>
      <c r="J775" s="1126"/>
      <c r="K775" s="1126"/>
      <c r="L775" s="1126"/>
      <c r="M775" s="1126"/>
      <c r="N775" s="1126"/>
      <c r="O775" s="1126"/>
      <c r="P775" s="1126"/>
      <c r="Q775" s="1126"/>
      <c r="R775" s="1126"/>
      <c r="S775" s="1126"/>
      <c r="T775" s="1126"/>
      <c r="U775" s="1126"/>
      <c r="V775" s="1126"/>
      <c r="W775" s="1126"/>
      <c r="X775" s="1126"/>
      <c r="Y775" s="1126"/>
      <c r="Z775" s="1126"/>
      <c r="AA775" s="1126"/>
    </row>
    <row r="776" ht="15.75" customHeight="1">
      <c r="A776" s="1126"/>
      <c r="B776" s="1126"/>
      <c r="C776" s="1126"/>
      <c r="D776" s="1126"/>
      <c r="E776" s="1126"/>
      <c r="F776" s="1126"/>
      <c r="G776" s="1126"/>
      <c r="H776" s="1126"/>
      <c r="I776" s="1126"/>
      <c r="J776" s="1126"/>
      <c r="K776" s="1126"/>
      <c r="L776" s="1126"/>
      <c r="M776" s="1126"/>
      <c r="N776" s="1126"/>
      <c r="O776" s="1126"/>
      <c r="P776" s="1126"/>
      <c r="Q776" s="1126"/>
      <c r="R776" s="1126"/>
      <c r="S776" s="1126"/>
      <c r="T776" s="1126"/>
      <c r="U776" s="1126"/>
      <c r="V776" s="1126"/>
      <c r="W776" s="1126"/>
      <c r="X776" s="1126"/>
      <c r="Y776" s="1126"/>
      <c r="Z776" s="1126"/>
      <c r="AA776" s="1126"/>
    </row>
    <row r="777" ht="15.75" customHeight="1">
      <c r="A777" s="1126"/>
      <c r="B777" s="1126"/>
      <c r="C777" s="1126"/>
      <c r="D777" s="1126"/>
      <c r="E777" s="1126"/>
      <c r="F777" s="1126"/>
      <c r="G777" s="1126"/>
      <c r="H777" s="1126"/>
      <c r="I777" s="1126"/>
      <c r="J777" s="1126"/>
      <c r="K777" s="1126"/>
      <c r="L777" s="1126"/>
      <c r="M777" s="1126"/>
      <c r="N777" s="1126"/>
      <c r="O777" s="1126"/>
      <c r="P777" s="1126"/>
      <c r="Q777" s="1126"/>
      <c r="R777" s="1126"/>
      <c r="S777" s="1126"/>
      <c r="T777" s="1126"/>
      <c r="U777" s="1126"/>
      <c r="V777" s="1126"/>
      <c r="W777" s="1126"/>
      <c r="X777" s="1126"/>
      <c r="Y777" s="1126"/>
      <c r="Z777" s="1126"/>
      <c r="AA777" s="1126"/>
    </row>
    <row r="778" ht="15.75" customHeight="1">
      <c r="A778" s="1126"/>
      <c r="B778" s="1126"/>
      <c r="C778" s="1126"/>
      <c r="D778" s="1126"/>
      <c r="E778" s="1126"/>
      <c r="F778" s="1126"/>
      <c r="G778" s="1126"/>
      <c r="H778" s="1126"/>
      <c r="I778" s="1126"/>
      <c r="J778" s="1126"/>
      <c r="K778" s="1126"/>
      <c r="L778" s="1126"/>
      <c r="M778" s="1126"/>
      <c r="N778" s="1126"/>
      <c r="O778" s="1126"/>
      <c r="P778" s="1126"/>
      <c r="Q778" s="1126"/>
      <c r="R778" s="1126"/>
      <c r="S778" s="1126"/>
      <c r="T778" s="1126"/>
      <c r="U778" s="1126"/>
      <c r="V778" s="1126"/>
      <c r="W778" s="1126"/>
      <c r="X778" s="1126"/>
      <c r="Y778" s="1126"/>
      <c r="Z778" s="1126"/>
      <c r="AA778" s="1126"/>
    </row>
    <row r="779" ht="15.75" customHeight="1">
      <c r="A779" s="1126"/>
      <c r="B779" s="1126"/>
      <c r="C779" s="1126"/>
      <c r="D779" s="1126"/>
      <c r="E779" s="1126"/>
      <c r="F779" s="1126"/>
      <c r="G779" s="1126"/>
      <c r="H779" s="1126"/>
      <c r="I779" s="1126"/>
      <c r="J779" s="1126"/>
      <c r="K779" s="1126"/>
      <c r="L779" s="1126"/>
      <c r="M779" s="1126"/>
      <c r="N779" s="1126"/>
      <c r="O779" s="1126"/>
      <c r="P779" s="1126"/>
      <c r="Q779" s="1126"/>
      <c r="R779" s="1126"/>
      <c r="S779" s="1126"/>
      <c r="T779" s="1126"/>
      <c r="U779" s="1126"/>
      <c r="V779" s="1126"/>
      <c r="W779" s="1126"/>
      <c r="X779" s="1126"/>
      <c r="Y779" s="1126"/>
      <c r="Z779" s="1126"/>
      <c r="AA779" s="1126"/>
    </row>
    <row r="780" ht="15.75" customHeight="1">
      <c r="A780" s="1126"/>
      <c r="B780" s="1126"/>
      <c r="C780" s="1126"/>
      <c r="D780" s="1126"/>
      <c r="E780" s="1126"/>
      <c r="F780" s="1126"/>
      <c r="G780" s="1126"/>
      <c r="H780" s="1126"/>
      <c r="I780" s="1126"/>
      <c r="J780" s="1126"/>
      <c r="K780" s="1126"/>
      <c r="L780" s="1126"/>
      <c r="M780" s="1126"/>
      <c r="N780" s="1126"/>
      <c r="O780" s="1126"/>
      <c r="P780" s="1126"/>
      <c r="Q780" s="1126"/>
      <c r="R780" s="1126"/>
      <c r="S780" s="1126"/>
      <c r="T780" s="1126"/>
      <c r="U780" s="1126"/>
      <c r="V780" s="1126"/>
      <c r="W780" s="1126"/>
      <c r="X780" s="1126"/>
      <c r="Y780" s="1126"/>
      <c r="Z780" s="1126"/>
      <c r="AA780" s="1126"/>
    </row>
    <row r="781" ht="15.75" customHeight="1">
      <c r="A781" s="1126"/>
      <c r="B781" s="1126"/>
      <c r="C781" s="1126"/>
      <c r="D781" s="1126"/>
      <c r="E781" s="1126"/>
      <c r="F781" s="1126"/>
      <c r="G781" s="1126"/>
      <c r="H781" s="1126"/>
      <c r="I781" s="1126"/>
      <c r="J781" s="1126"/>
      <c r="K781" s="1126"/>
      <c r="L781" s="1126"/>
      <c r="M781" s="1126"/>
      <c r="N781" s="1126"/>
      <c r="O781" s="1126"/>
      <c r="P781" s="1126"/>
      <c r="Q781" s="1126"/>
      <c r="R781" s="1126"/>
      <c r="S781" s="1126"/>
      <c r="T781" s="1126"/>
      <c r="U781" s="1126"/>
      <c r="V781" s="1126"/>
      <c r="W781" s="1126"/>
      <c r="X781" s="1126"/>
      <c r="Y781" s="1126"/>
      <c r="Z781" s="1126"/>
      <c r="AA781" s="1126"/>
    </row>
    <row r="782" ht="15.75" customHeight="1">
      <c r="A782" s="1126"/>
      <c r="B782" s="1126"/>
      <c r="C782" s="1126"/>
      <c r="D782" s="1126"/>
      <c r="E782" s="1126"/>
      <c r="F782" s="1126"/>
      <c r="G782" s="1126"/>
      <c r="H782" s="1126"/>
      <c r="I782" s="1126"/>
      <c r="J782" s="1126"/>
      <c r="K782" s="1126"/>
      <c r="L782" s="1126"/>
      <c r="M782" s="1126"/>
      <c r="N782" s="1126"/>
      <c r="O782" s="1126"/>
      <c r="P782" s="1126"/>
      <c r="Q782" s="1126"/>
      <c r="R782" s="1126"/>
      <c r="S782" s="1126"/>
      <c r="T782" s="1126"/>
      <c r="U782" s="1126"/>
      <c r="V782" s="1126"/>
      <c r="W782" s="1126"/>
      <c r="X782" s="1126"/>
      <c r="Y782" s="1126"/>
      <c r="Z782" s="1126"/>
      <c r="AA782" s="1126"/>
    </row>
    <row r="783" ht="15.75" customHeight="1">
      <c r="A783" s="1126"/>
      <c r="B783" s="1126"/>
      <c r="C783" s="1126"/>
      <c r="D783" s="1126"/>
      <c r="E783" s="1126"/>
      <c r="F783" s="1126"/>
      <c r="G783" s="1126"/>
      <c r="H783" s="1126"/>
      <c r="I783" s="1126"/>
      <c r="J783" s="1126"/>
      <c r="K783" s="1126"/>
      <c r="L783" s="1126"/>
      <c r="M783" s="1126"/>
      <c r="N783" s="1126"/>
      <c r="O783" s="1126"/>
      <c r="P783" s="1126"/>
      <c r="Q783" s="1126"/>
      <c r="R783" s="1126"/>
      <c r="S783" s="1126"/>
      <c r="T783" s="1126"/>
      <c r="U783" s="1126"/>
      <c r="V783" s="1126"/>
      <c r="W783" s="1126"/>
      <c r="X783" s="1126"/>
      <c r="Y783" s="1126"/>
      <c r="Z783" s="1126"/>
      <c r="AA783" s="1126"/>
    </row>
    <row r="784" ht="15.75" customHeight="1">
      <c r="A784" s="1126"/>
      <c r="B784" s="1126"/>
      <c r="C784" s="1126"/>
      <c r="D784" s="1126"/>
      <c r="E784" s="1126"/>
      <c r="F784" s="1126"/>
      <c r="G784" s="1126"/>
      <c r="H784" s="1126"/>
      <c r="I784" s="1126"/>
      <c r="J784" s="1126"/>
      <c r="K784" s="1126"/>
      <c r="L784" s="1126"/>
      <c r="M784" s="1126"/>
      <c r="N784" s="1126"/>
      <c r="O784" s="1126"/>
      <c r="P784" s="1126"/>
      <c r="Q784" s="1126"/>
      <c r="R784" s="1126"/>
      <c r="S784" s="1126"/>
      <c r="T784" s="1126"/>
      <c r="U784" s="1126"/>
      <c r="V784" s="1126"/>
      <c r="W784" s="1126"/>
      <c r="X784" s="1126"/>
      <c r="Y784" s="1126"/>
      <c r="Z784" s="1126"/>
      <c r="AA784" s="1126"/>
    </row>
    <row r="785" ht="15.75" customHeight="1">
      <c r="A785" s="1126"/>
      <c r="B785" s="1126"/>
      <c r="C785" s="1126"/>
      <c r="D785" s="1126"/>
      <c r="E785" s="1126"/>
      <c r="F785" s="1126"/>
      <c r="G785" s="1126"/>
      <c r="H785" s="1126"/>
      <c r="I785" s="1126"/>
      <c r="J785" s="1126"/>
      <c r="K785" s="1126"/>
      <c r="L785" s="1126"/>
      <c r="M785" s="1126"/>
      <c r="N785" s="1126"/>
      <c r="O785" s="1126"/>
      <c r="P785" s="1126"/>
      <c r="Q785" s="1126"/>
      <c r="R785" s="1126"/>
      <c r="S785" s="1126"/>
      <c r="T785" s="1126"/>
      <c r="U785" s="1126"/>
      <c r="V785" s="1126"/>
      <c r="W785" s="1126"/>
      <c r="X785" s="1126"/>
      <c r="Y785" s="1126"/>
      <c r="Z785" s="1126"/>
      <c r="AA785" s="1126"/>
    </row>
    <row r="786" ht="15.75" customHeight="1">
      <c r="A786" s="1126"/>
      <c r="B786" s="1126"/>
      <c r="C786" s="1126"/>
      <c r="D786" s="1126"/>
      <c r="E786" s="1126"/>
      <c r="F786" s="1126"/>
      <c r="G786" s="1126"/>
      <c r="H786" s="1126"/>
      <c r="I786" s="1126"/>
      <c r="J786" s="1126"/>
      <c r="K786" s="1126"/>
      <c r="L786" s="1126"/>
      <c r="M786" s="1126"/>
      <c r="N786" s="1126"/>
      <c r="O786" s="1126"/>
      <c r="P786" s="1126"/>
      <c r="Q786" s="1126"/>
      <c r="R786" s="1126"/>
      <c r="S786" s="1126"/>
      <c r="T786" s="1126"/>
      <c r="U786" s="1126"/>
      <c r="V786" s="1126"/>
      <c r="W786" s="1126"/>
      <c r="X786" s="1126"/>
      <c r="Y786" s="1126"/>
      <c r="Z786" s="1126"/>
      <c r="AA786" s="1126"/>
    </row>
    <row r="787" ht="15.75" customHeight="1">
      <c r="A787" s="1126"/>
      <c r="B787" s="1126"/>
      <c r="C787" s="1126"/>
      <c r="D787" s="1126"/>
      <c r="E787" s="1126"/>
      <c r="F787" s="1126"/>
      <c r="G787" s="1126"/>
      <c r="H787" s="1126"/>
      <c r="I787" s="1126"/>
      <c r="J787" s="1126"/>
      <c r="K787" s="1126"/>
      <c r="L787" s="1126"/>
      <c r="M787" s="1126"/>
      <c r="N787" s="1126"/>
      <c r="O787" s="1126"/>
      <c r="P787" s="1126"/>
      <c r="Q787" s="1126"/>
      <c r="R787" s="1126"/>
      <c r="S787" s="1126"/>
      <c r="T787" s="1126"/>
      <c r="U787" s="1126"/>
      <c r="V787" s="1126"/>
      <c r="W787" s="1126"/>
      <c r="X787" s="1126"/>
      <c r="Y787" s="1126"/>
      <c r="Z787" s="1126"/>
      <c r="AA787" s="1126"/>
    </row>
    <row r="788" ht="15.75" customHeight="1">
      <c r="A788" s="1126"/>
      <c r="B788" s="1126"/>
      <c r="C788" s="1126"/>
      <c r="D788" s="1126"/>
      <c r="E788" s="1126"/>
      <c r="F788" s="1126"/>
      <c r="G788" s="1126"/>
      <c r="H788" s="1126"/>
      <c r="I788" s="1126"/>
      <c r="J788" s="1126"/>
      <c r="K788" s="1126"/>
      <c r="L788" s="1126"/>
      <c r="M788" s="1126"/>
      <c r="N788" s="1126"/>
      <c r="O788" s="1126"/>
      <c r="P788" s="1126"/>
      <c r="Q788" s="1126"/>
      <c r="R788" s="1126"/>
      <c r="S788" s="1126"/>
      <c r="T788" s="1126"/>
      <c r="U788" s="1126"/>
      <c r="V788" s="1126"/>
      <c r="W788" s="1126"/>
      <c r="X788" s="1126"/>
      <c r="Y788" s="1126"/>
      <c r="Z788" s="1126"/>
      <c r="AA788" s="1126"/>
    </row>
    <row r="789" ht="15.75" customHeight="1">
      <c r="A789" s="1126"/>
      <c r="B789" s="1126"/>
      <c r="C789" s="1126"/>
      <c r="D789" s="1126"/>
      <c r="E789" s="1126"/>
      <c r="F789" s="1126"/>
      <c r="G789" s="1126"/>
      <c r="H789" s="1126"/>
      <c r="I789" s="1126"/>
      <c r="J789" s="1126"/>
      <c r="K789" s="1126"/>
      <c r="L789" s="1126"/>
      <c r="M789" s="1126"/>
      <c r="N789" s="1126"/>
      <c r="O789" s="1126"/>
      <c r="P789" s="1126"/>
      <c r="Q789" s="1126"/>
      <c r="R789" s="1126"/>
      <c r="S789" s="1126"/>
      <c r="T789" s="1126"/>
      <c r="U789" s="1126"/>
      <c r="V789" s="1126"/>
      <c r="W789" s="1126"/>
      <c r="X789" s="1126"/>
      <c r="Y789" s="1126"/>
      <c r="Z789" s="1126"/>
      <c r="AA789" s="1126"/>
    </row>
    <row r="790" ht="15.75" customHeight="1">
      <c r="A790" s="1126"/>
      <c r="B790" s="1126"/>
      <c r="C790" s="1126"/>
      <c r="D790" s="1126"/>
      <c r="E790" s="1126"/>
      <c r="F790" s="1126"/>
      <c r="G790" s="1126"/>
      <c r="H790" s="1126"/>
      <c r="I790" s="1126"/>
      <c r="J790" s="1126"/>
      <c r="K790" s="1126"/>
      <c r="L790" s="1126"/>
      <c r="M790" s="1126"/>
      <c r="N790" s="1126"/>
      <c r="O790" s="1126"/>
      <c r="P790" s="1126"/>
      <c r="Q790" s="1126"/>
      <c r="R790" s="1126"/>
      <c r="S790" s="1126"/>
      <c r="T790" s="1126"/>
      <c r="U790" s="1126"/>
      <c r="V790" s="1126"/>
      <c r="W790" s="1126"/>
      <c r="X790" s="1126"/>
      <c r="Y790" s="1126"/>
      <c r="Z790" s="1126"/>
      <c r="AA790" s="1126"/>
    </row>
    <row r="791" ht="15.75" customHeight="1">
      <c r="A791" s="1126"/>
      <c r="B791" s="1126"/>
      <c r="C791" s="1126"/>
      <c r="D791" s="1126"/>
      <c r="E791" s="1126"/>
      <c r="F791" s="1126"/>
      <c r="G791" s="1126"/>
      <c r="H791" s="1126"/>
      <c r="I791" s="1126"/>
      <c r="J791" s="1126"/>
      <c r="K791" s="1126"/>
      <c r="L791" s="1126"/>
      <c r="M791" s="1126"/>
      <c r="N791" s="1126"/>
      <c r="O791" s="1126"/>
      <c r="P791" s="1126"/>
      <c r="Q791" s="1126"/>
      <c r="R791" s="1126"/>
      <c r="S791" s="1126"/>
      <c r="T791" s="1126"/>
      <c r="U791" s="1126"/>
      <c r="V791" s="1126"/>
      <c r="W791" s="1126"/>
      <c r="X791" s="1126"/>
      <c r="Y791" s="1126"/>
      <c r="Z791" s="1126"/>
      <c r="AA791" s="1126"/>
    </row>
    <row r="792" ht="15.75" customHeight="1">
      <c r="A792" s="1126"/>
      <c r="B792" s="1126"/>
      <c r="C792" s="1126"/>
      <c r="D792" s="1126"/>
      <c r="E792" s="1126"/>
      <c r="F792" s="1126"/>
      <c r="G792" s="1126"/>
      <c r="H792" s="1126"/>
      <c r="I792" s="1126"/>
      <c r="J792" s="1126"/>
      <c r="K792" s="1126"/>
      <c r="L792" s="1126"/>
      <c r="M792" s="1126"/>
      <c r="N792" s="1126"/>
      <c r="O792" s="1126"/>
      <c r="P792" s="1126"/>
      <c r="Q792" s="1126"/>
      <c r="R792" s="1126"/>
      <c r="S792" s="1126"/>
      <c r="T792" s="1126"/>
      <c r="U792" s="1126"/>
      <c r="V792" s="1126"/>
      <c r="W792" s="1126"/>
      <c r="X792" s="1126"/>
      <c r="Y792" s="1126"/>
      <c r="Z792" s="1126"/>
      <c r="AA792" s="1126"/>
    </row>
    <row r="793" ht="15.75" customHeight="1">
      <c r="A793" s="1126"/>
      <c r="B793" s="1126"/>
      <c r="C793" s="1126"/>
      <c r="D793" s="1126"/>
      <c r="E793" s="1126"/>
      <c r="F793" s="1126"/>
      <c r="G793" s="1126"/>
      <c r="H793" s="1126"/>
      <c r="I793" s="1126"/>
      <c r="J793" s="1126"/>
      <c r="K793" s="1126"/>
      <c r="L793" s="1126"/>
      <c r="M793" s="1126"/>
      <c r="N793" s="1126"/>
      <c r="O793" s="1126"/>
      <c r="P793" s="1126"/>
      <c r="Q793" s="1126"/>
      <c r="R793" s="1126"/>
      <c r="S793" s="1126"/>
      <c r="T793" s="1126"/>
      <c r="U793" s="1126"/>
      <c r="V793" s="1126"/>
      <c r="W793" s="1126"/>
      <c r="X793" s="1126"/>
      <c r="Y793" s="1126"/>
      <c r="Z793" s="1126"/>
      <c r="AA793" s="1126"/>
    </row>
    <row r="794" ht="15.75" customHeight="1">
      <c r="A794" s="1126"/>
      <c r="B794" s="1126"/>
      <c r="C794" s="1126"/>
      <c r="D794" s="1126"/>
      <c r="E794" s="1126"/>
      <c r="F794" s="1126"/>
      <c r="G794" s="1126"/>
      <c r="H794" s="1126"/>
      <c r="I794" s="1126"/>
      <c r="J794" s="1126"/>
      <c r="K794" s="1126"/>
      <c r="L794" s="1126"/>
      <c r="M794" s="1126"/>
      <c r="N794" s="1126"/>
      <c r="O794" s="1126"/>
      <c r="P794" s="1126"/>
      <c r="Q794" s="1126"/>
      <c r="R794" s="1126"/>
      <c r="S794" s="1126"/>
      <c r="T794" s="1126"/>
      <c r="U794" s="1126"/>
      <c r="V794" s="1126"/>
      <c r="W794" s="1126"/>
      <c r="X794" s="1126"/>
      <c r="Y794" s="1126"/>
      <c r="Z794" s="1126"/>
      <c r="AA794" s="1126"/>
    </row>
    <row r="795" ht="15.75" customHeight="1">
      <c r="A795" s="1126"/>
      <c r="B795" s="1126"/>
      <c r="C795" s="1126"/>
      <c r="D795" s="1126"/>
      <c r="E795" s="1126"/>
      <c r="F795" s="1126"/>
      <c r="G795" s="1126"/>
      <c r="H795" s="1126"/>
      <c r="I795" s="1126"/>
      <c r="J795" s="1126"/>
      <c r="K795" s="1126"/>
      <c r="L795" s="1126"/>
      <c r="M795" s="1126"/>
      <c r="N795" s="1126"/>
      <c r="O795" s="1126"/>
      <c r="P795" s="1126"/>
      <c r="Q795" s="1126"/>
      <c r="R795" s="1126"/>
      <c r="S795" s="1126"/>
      <c r="T795" s="1126"/>
      <c r="U795" s="1126"/>
      <c r="V795" s="1126"/>
      <c r="W795" s="1126"/>
      <c r="X795" s="1126"/>
      <c r="Y795" s="1126"/>
      <c r="Z795" s="1126"/>
      <c r="AA795" s="1126"/>
    </row>
    <row r="796" ht="15.75" customHeight="1">
      <c r="A796" s="1126"/>
      <c r="B796" s="1126"/>
      <c r="C796" s="1126"/>
      <c r="D796" s="1126"/>
      <c r="E796" s="1126"/>
      <c r="F796" s="1126"/>
      <c r="G796" s="1126"/>
      <c r="H796" s="1126"/>
      <c r="I796" s="1126"/>
      <c r="J796" s="1126"/>
      <c r="K796" s="1126"/>
      <c r="L796" s="1126"/>
      <c r="M796" s="1126"/>
      <c r="N796" s="1126"/>
      <c r="O796" s="1126"/>
      <c r="P796" s="1126"/>
      <c r="Q796" s="1126"/>
      <c r="R796" s="1126"/>
      <c r="S796" s="1126"/>
      <c r="T796" s="1126"/>
      <c r="U796" s="1126"/>
      <c r="V796" s="1126"/>
      <c r="W796" s="1126"/>
      <c r="X796" s="1126"/>
      <c r="Y796" s="1126"/>
      <c r="Z796" s="1126"/>
      <c r="AA796" s="1126"/>
    </row>
    <row r="797" ht="15.75" customHeight="1">
      <c r="A797" s="1126"/>
      <c r="B797" s="1126"/>
      <c r="C797" s="1126"/>
      <c r="D797" s="1126"/>
      <c r="E797" s="1126"/>
      <c r="F797" s="1126"/>
      <c r="G797" s="1126"/>
      <c r="H797" s="1126"/>
      <c r="I797" s="1126"/>
      <c r="J797" s="1126"/>
      <c r="K797" s="1126"/>
      <c r="L797" s="1126"/>
      <c r="M797" s="1126"/>
      <c r="N797" s="1126"/>
      <c r="O797" s="1126"/>
      <c r="P797" s="1126"/>
      <c r="Q797" s="1126"/>
      <c r="R797" s="1126"/>
      <c r="S797" s="1126"/>
      <c r="T797" s="1126"/>
      <c r="U797" s="1126"/>
      <c r="V797" s="1126"/>
      <c r="W797" s="1126"/>
      <c r="X797" s="1126"/>
      <c r="Y797" s="1126"/>
      <c r="Z797" s="1126"/>
      <c r="AA797" s="1126"/>
    </row>
    <row r="798" ht="15.75" customHeight="1">
      <c r="A798" s="1126"/>
      <c r="B798" s="1126"/>
      <c r="C798" s="1126"/>
      <c r="D798" s="1126"/>
      <c r="E798" s="1126"/>
      <c r="F798" s="1126"/>
      <c r="G798" s="1126"/>
      <c r="H798" s="1126"/>
      <c r="I798" s="1126"/>
      <c r="J798" s="1126"/>
      <c r="K798" s="1126"/>
      <c r="L798" s="1126"/>
      <c r="M798" s="1126"/>
      <c r="N798" s="1126"/>
      <c r="O798" s="1126"/>
      <c r="P798" s="1126"/>
      <c r="Q798" s="1126"/>
      <c r="R798" s="1126"/>
      <c r="S798" s="1126"/>
      <c r="T798" s="1126"/>
      <c r="U798" s="1126"/>
      <c r="V798" s="1126"/>
      <c r="W798" s="1126"/>
      <c r="X798" s="1126"/>
      <c r="Y798" s="1126"/>
      <c r="Z798" s="1126"/>
      <c r="AA798" s="1126"/>
    </row>
    <row r="799" ht="15.75" customHeight="1">
      <c r="A799" s="1126"/>
      <c r="B799" s="1126"/>
      <c r="C799" s="1126"/>
      <c r="D799" s="1126"/>
      <c r="E799" s="1126"/>
      <c r="F799" s="1126"/>
      <c r="G799" s="1126"/>
      <c r="H799" s="1126"/>
      <c r="I799" s="1126"/>
      <c r="J799" s="1126"/>
      <c r="K799" s="1126"/>
      <c r="L799" s="1126"/>
      <c r="M799" s="1126"/>
      <c r="N799" s="1126"/>
      <c r="O799" s="1126"/>
      <c r="P799" s="1126"/>
      <c r="Q799" s="1126"/>
      <c r="R799" s="1126"/>
      <c r="S799" s="1126"/>
      <c r="T799" s="1126"/>
      <c r="U799" s="1126"/>
      <c r="V799" s="1126"/>
      <c r="W799" s="1126"/>
      <c r="X799" s="1126"/>
      <c r="Y799" s="1126"/>
      <c r="Z799" s="1126"/>
      <c r="AA799" s="1126"/>
    </row>
    <row r="800" ht="15.75" customHeight="1">
      <c r="A800" s="1126"/>
      <c r="B800" s="1126"/>
      <c r="C800" s="1126"/>
      <c r="D800" s="1126"/>
      <c r="E800" s="1126"/>
      <c r="F800" s="1126"/>
      <c r="G800" s="1126"/>
      <c r="H800" s="1126"/>
      <c r="I800" s="1126"/>
      <c r="J800" s="1126"/>
      <c r="K800" s="1126"/>
      <c r="L800" s="1126"/>
      <c r="M800" s="1126"/>
      <c r="N800" s="1126"/>
      <c r="O800" s="1126"/>
      <c r="P800" s="1126"/>
      <c r="Q800" s="1126"/>
      <c r="R800" s="1126"/>
      <c r="S800" s="1126"/>
      <c r="T800" s="1126"/>
      <c r="U800" s="1126"/>
      <c r="V800" s="1126"/>
      <c r="W800" s="1126"/>
      <c r="X800" s="1126"/>
      <c r="Y800" s="1126"/>
      <c r="Z800" s="1126"/>
      <c r="AA800" s="1126"/>
    </row>
    <row r="801" ht="15.75" customHeight="1">
      <c r="A801" s="1126"/>
      <c r="B801" s="1126"/>
      <c r="C801" s="1126"/>
      <c r="D801" s="1126"/>
      <c r="E801" s="1126"/>
      <c r="F801" s="1126"/>
      <c r="G801" s="1126"/>
      <c r="H801" s="1126"/>
      <c r="I801" s="1126"/>
      <c r="J801" s="1126"/>
      <c r="K801" s="1126"/>
      <c r="L801" s="1126"/>
      <c r="M801" s="1126"/>
      <c r="N801" s="1126"/>
      <c r="O801" s="1126"/>
      <c r="P801" s="1126"/>
      <c r="Q801" s="1126"/>
      <c r="R801" s="1126"/>
      <c r="S801" s="1126"/>
      <c r="T801" s="1126"/>
      <c r="U801" s="1126"/>
      <c r="V801" s="1126"/>
      <c r="W801" s="1126"/>
      <c r="X801" s="1126"/>
      <c r="Y801" s="1126"/>
      <c r="Z801" s="1126"/>
      <c r="AA801" s="1126"/>
    </row>
    <row r="802" ht="15.75" customHeight="1">
      <c r="A802" s="1126"/>
      <c r="B802" s="1126"/>
      <c r="C802" s="1126"/>
      <c r="D802" s="1126"/>
      <c r="E802" s="1126"/>
      <c r="F802" s="1126"/>
      <c r="G802" s="1126"/>
      <c r="H802" s="1126"/>
      <c r="I802" s="1126"/>
      <c r="J802" s="1126"/>
      <c r="K802" s="1126"/>
      <c r="L802" s="1126"/>
      <c r="M802" s="1126"/>
      <c r="N802" s="1126"/>
      <c r="O802" s="1126"/>
      <c r="P802" s="1126"/>
      <c r="Q802" s="1126"/>
      <c r="R802" s="1126"/>
      <c r="S802" s="1126"/>
      <c r="T802" s="1126"/>
      <c r="U802" s="1126"/>
      <c r="V802" s="1126"/>
      <c r="W802" s="1126"/>
      <c r="X802" s="1126"/>
      <c r="Y802" s="1126"/>
      <c r="Z802" s="1126"/>
      <c r="AA802" s="1126"/>
    </row>
    <row r="803" ht="15.75" customHeight="1">
      <c r="A803" s="1126"/>
      <c r="B803" s="1126"/>
      <c r="C803" s="1126"/>
      <c r="D803" s="1126"/>
      <c r="E803" s="1126"/>
      <c r="F803" s="1126"/>
      <c r="G803" s="1126"/>
      <c r="H803" s="1126"/>
      <c r="I803" s="1126"/>
      <c r="J803" s="1126"/>
      <c r="K803" s="1126"/>
      <c r="L803" s="1126"/>
      <c r="M803" s="1126"/>
      <c r="N803" s="1126"/>
      <c r="O803" s="1126"/>
      <c r="P803" s="1126"/>
      <c r="Q803" s="1126"/>
      <c r="R803" s="1126"/>
      <c r="S803" s="1126"/>
      <c r="T803" s="1126"/>
      <c r="U803" s="1126"/>
      <c r="V803" s="1126"/>
      <c r="W803" s="1126"/>
      <c r="X803" s="1126"/>
      <c r="Y803" s="1126"/>
      <c r="Z803" s="1126"/>
      <c r="AA803" s="1126"/>
    </row>
    <row r="804" ht="15.75" customHeight="1">
      <c r="A804" s="1126"/>
      <c r="B804" s="1126"/>
      <c r="C804" s="1126"/>
      <c r="D804" s="1126"/>
      <c r="E804" s="1126"/>
      <c r="F804" s="1126"/>
      <c r="G804" s="1126"/>
      <c r="H804" s="1126"/>
      <c r="I804" s="1126"/>
      <c r="J804" s="1126"/>
      <c r="K804" s="1126"/>
      <c r="L804" s="1126"/>
      <c r="M804" s="1126"/>
      <c r="N804" s="1126"/>
      <c r="O804" s="1126"/>
      <c r="P804" s="1126"/>
      <c r="Q804" s="1126"/>
      <c r="R804" s="1126"/>
      <c r="S804" s="1126"/>
      <c r="T804" s="1126"/>
      <c r="U804" s="1126"/>
      <c r="V804" s="1126"/>
      <c r="W804" s="1126"/>
      <c r="X804" s="1126"/>
      <c r="Y804" s="1126"/>
      <c r="Z804" s="1126"/>
      <c r="AA804" s="1126"/>
    </row>
    <row r="805" ht="15.75" customHeight="1">
      <c r="A805" s="1126"/>
      <c r="B805" s="1126"/>
      <c r="C805" s="1126"/>
      <c r="D805" s="1126"/>
      <c r="E805" s="1126"/>
      <c r="F805" s="1126"/>
      <c r="G805" s="1126"/>
      <c r="H805" s="1126"/>
      <c r="I805" s="1126"/>
      <c r="J805" s="1126"/>
      <c r="K805" s="1126"/>
      <c r="L805" s="1126"/>
      <c r="M805" s="1126"/>
      <c r="N805" s="1126"/>
      <c r="O805" s="1126"/>
      <c r="P805" s="1126"/>
      <c r="Q805" s="1126"/>
      <c r="R805" s="1126"/>
      <c r="S805" s="1126"/>
      <c r="T805" s="1126"/>
      <c r="U805" s="1126"/>
      <c r="V805" s="1126"/>
      <c r="W805" s="1126"/>
      <c r="X805" s="1126"/>
      <c r="Y805" s="1126"/>
      <c r="Z805" s="1126"/>
      <c r="AA805" s="1126"/>
    </row>
    <row r="806" ht="15.75" customHeight="1">
      <c r="A806" s="1126"/>
      <c r="B806" s="1126"/>
      <c r="C806" s="1126"/>
      <c r="D806" s="1126"/>
      <c r="E806" s="1126"/>
      <c r="F806" s="1126"/>
      <c r="G806" s="1126"/>
      <c r="H806" s="1126"/>
      <c r="I806" s="1126"/>
      <c r="J806" s="1126"/>
      <c r="K806" s="1126"/>
      <c r="L806" s="1126"/>
      <c r="M806" s="1126"/>
      <c r="N806" s="1126"/>
      <c r="O806" s="1126"/>
      <c r="P806" s="1126"/>
      <c r="Q806" s="1126"/>
      <c r="R806" s="1126"/>
      <c r="S806" s="1126"/>
      <c r="T806" s="1126"/>
      <c r="U806" s="1126"/>
      <c r="V806" s="1126"/>
      <c r="W806" s="1126"/>
      <c r="X806" s="1126"/>
      <c r="Y806" s="1126"/>
      <c r="Z806" s="1126"/>
      <c r="AA806" s="1126"/>
    </row>
    <row r="807" ht="15.75" customHeight="1">
      <c r="A807" s="1126"/>
      <c r="B807" s="1126"/>
      <c r="C807" s="1126"/>
      <c r="D807" s="1126"/>
      <c r="E807" s="1126"/>
      <c r="F807" s="1126"/>
      <c r="G807" s="1126"/>
      <c r="H807" s="1126"/>
      <c r="I807" s="1126"/>
      <c r="J807" s="1126"/>
      <c r="K807" s="1126"/>
      <c r="L807" s="1126"/>
      <c r="M807" s="1126"/>
      <c r="N807" s="1126"/>
      <c r="O807" s="1126"/>
      <c r="P807" s="1126"/>
      <c r="Q807" s="1126"/>
      <c r="R807" s="1126"/>
      <c r="S807" s="1126"/>
      <c r="T807" s="1126"/>
      <c r="U807" s="1126"/>
      <c r="V807" s="1126"/>
      <c r="W807" s="1126"/>
      <c r="X807" s="1126"/>
      <c r="Y807" s="1126"/>
      <c r="Z807" s="1126"/>
      <c r="AA807" s="1126"/>
    </row>
    <row r="808" ht="15.75" customHeight="1">
      <c r="A808" s="1126"/>
      <c r="B808" s="1126"/>
      <c r="C808" s="1126"/>
      <c r="D808" s="1126"/>
      <c r="E808" s="1126"/>
      <c r="F808" s="1126"/>
      <c r="G808" s="1126"/>
      <c r="H808" s="1126"/>
      <c r="I808" s="1126"/>
      <c r="J808" s="1126"/>
      <c r="K808" s="1126"/>
      <c r="L808" s="1126"/>
      <c r="M808" s="1126"/>
      <c r="N808" s="1126"/>
      <c r="O808" s="1126"/>
      <c r="P808" s="1126"/>
      <c r="Q808" s="1126"/>
      <c r="R808" s="1126"/>
      <c r="S808" s="1126"/>
      <c r="T808" s="1126"/>
      <c r="U808" s="1126"/>
      <c r="V808" s="1126"/>
      <c r="W808" s="1126"/>
      <c r="X808" s="1126"/>
      <c r="Y808" s="1126"/>
      <c r="Z808" s="1126"/>
      <c r="AA808" s="1126"/>
    </row>
    <row r="809" ht="15.75" customHeight="1">
      <c r="A809" s="1126"/>
      <c r="B809" s="1126"/>
      <c r="C809" s="1126"/>
      <c r="D809" s="1126"/>
      <c r="E809" s="1126"/>
      <c r="F809" s="1126"/>
      <c r="G809" s="1126"/>
      <c r="H809" s="1126"/>
      <c r="I809" s="1126"/>
      <c r="J809" s="1126"/>
      <c r="K809" s="1126"/>
      <c r="L809" s="1126"/>
      <c r="M809" s="1126"/>
      <c r="N809" s="1126"/>
      <c r="O809" s="1126"/>
      <c r="P809" s="1126"/>
      <c r="Q809" s="1126"/>
      <c r="R809" s="1126"/>
      <c r="S809" s="1126"/>
      <c r="T809" s="1126"/>
      <c r="U809" s="1126"/>
      <c r="V809" s="1126"/>
      <c r="W809" s="1126"/>
      <c r="X809" s="1126"/>
      <c r="Y809" s="1126"/>
      <c r="Z809" s="1126"/>
      <c r="AA809" s="1126"/>
    </row>
    <row r="810" ht="15.75" customHeight="1">
      <c r="A810" s="1126"/>
      <c r="B810" s="1126"/>
      <c r="C810" s="1126"/>
      <c r="D810" s="1126"/>
      <c r="E810" s="1126"/>
      <c r="F810" s="1126"/>
      <c r="G810" s="1126"/>
      <c r="H810" s="1126"/>
      <c r="I810" s="1126"/>
      <c r="J810" s="1126"/>
      <c r="K810" s="1126"/>
      <c r="L810" s="1126"/>
      <c r="M810" s="1126"/>
      <c r="N810" s="1126"/>
      <c r="O810" s="1126"/>
      <c r="P810" s="1126"/>
      <c r="Q810" s="1126"/>
      <c r="R810" s="1126"/>
      <c r="S810" s="1126"/>
      <c r="T810" s="1126"/>
      <c r="U810" s="1126"/>
      <c r="V810" s="1126"/>
      <c r="W810" s="1126"/>
      <c r="X810" s="1126"/>
      <c r="Y810" s="1126"/>
      <c r="Z810" s="1126"/>
      <c r="AA810" s="1126"/>
    </row>
    <row r="811" ht="15.75" customHeight="1">
      <c r="A811" s="1126"/>
      <c r="B811" s="1126"/>
      <c r="C811" s="1126"/>
      <c r="D811" s="1126"/>
      <c r="E811" s="1126"/>
      <c r="F811" s="1126"/>
      <c r="G811" s="1126"/>
      <c r="H811" s="1126"/>
      <c r="I811" s="1126"/>
      <c r="J811" s="1126"/>
      <c r="K811" s="1126"/>
      <c r="L811" s="1126"/>
      <c r="M811" s="1126"/>
      <c r="N811" s="1126"/>
      <c r="O811" s="1126"/>
      <c r="P811" s="1126"/>
      <c r="Q811" s="1126"/>
      <c r="R811" s="1126"/>
      <c r="S811" s="1126"/>
      <c r="T811" s="1126"/>
      <c r="U811" s="1126"/>
      <c r="V811" s="1126"/>
      <c r="W811" s="1126"/>
      <c r="X811" s="1126"/>
      <c r="Y811" s="1126"/>
      <c r="Z811" s="1126"/>
      <c r="AA811" s="1126"/>
    </row>
    <row r="812" ht="15.75" customHeight="1">
      <c r="A812" s="1126"/>
      <c r="B812" s="1126"/>
      <c r="C812" s="1126"/>
      <c r="D812" s="1126"/>
      <c r="E812" s="1126"/>
      <c r="F812" s="1126"/>
      <c r="G812" s="1126"/>
      <c r="H812" s="1126"/>
      <c r="I812" s="1126"/>
      <c r="J812" s="1126"/>
      <c r="K812" s="1126"/>
      <c r="L812" s="1126"/>
      <c r="M812" s="1126"/>
      <c r="N812" s="1126"/>
      <c r="O812" s="1126"/>
      <c r="P812" s="1126"/>
      <c r="Q812" s="1126"/>
      <c r="R812" s="1126"/>
      <c r="S812" s="1126"/>
      <c r="T812" s="1126"/>
      <c r="U812" s="1126"/>
      <c r="V812" s="1126"/>
      <c r="W812" s="1126"/>
      <c r="X812" s="1126"/>
      <c r="Y812" s="1126"/>
      <c r="Z812" s="1126"/>
      <c r="AA812" s="1126"/>
    </row>
    <row r="813" ht="15.75" customHeight="1">
      <c r="A813" s="1126"/>
      <c r="B813" s="1126"/>
      <c r="C813" s="1126"/>
      <c r="D813" s="1126"/>
      <c r="E813" s="1126"/>
      <c r="F813" s="1126"/>
      <c r="G813" s="1126"/>
      <c r="H813" s="1126"/>
      <c r="I813" s="1126"/>
      <c r="J813" s="1126"/>
      <c r="K813" s="1126"/>
      <c r="L813" s="1126"/>
      <c r="M813" s="1126"/>
      <c r="N813" s="1126"/>
      <c r="O813" s="1126"/>
      <c r="P813" s="1126"/>
      <c r="Q813" s="1126"/>
      <c r="R813" s="1126"/>
      <c r="S813" s="1126"/>
      <c r="T813" s="1126"/>
      <c r="U813" s="1126"/>
      <c r="V813" s="1126"/>
      <c r="W813" s="1126"/>
      <c r="X813" s="1126"/>
      <c r="Y813" s="1126"/>
      <c r="Z813" s="1126"/>
      <c r="AA813" s="1126"/>
    </row>
    <row r="814" ht="15.75" customHeight="1">
      <c r="A814" s="1126"/>
      <c r="B814" s="1126"/>
      <c r="C814" s="1126"/>
      <c r="D814" s="1126"/>
      <c r="E814" s="1126"/>
      <c r="F814" s="1126"/>
      <c r="G814" s="1126"/>
      <c r="H814" s="1126"/>
      <c r="I814" s="1126"/>
      <c r="J814" s="1126"/>
      <c r="K814" s="1126"/>
      <c r="L814" s="1126"/>
      <c r="M814" s="1126"/>
      <c r="N814" s="1126"/>
      <c r="O814" s="1126"/>
      <c r="P814" s="1126"/>
      <c r="Q814" s="1126"/>
      <c r="R814" s="1126"/>
      <c r="S814" s="1126"/>
      <c r="T814" s="1126"/>
      <c r="U814" s="1126"/>
      <c r="V814" s="1126"/>
      <c r="W814" s="1126"/>
      <c r="X814" s="1126"/>
      <c r="Y814" s="1126"/>
      <c r="Z814" s="1126"/>
      <c r="AA814" s="1126"/>
    </row>
    <row r="815" ht="15.75" customHeight="1">
      <c r="A815" s="1126"/>
      <c r="B815" s="1126"/>
      <c r="C815" s="1126"/>
      <c r="D815" s="1126"/>
      <c r="E815" s="1126"/>
      <c r="F815" s="1126"/>
      <c r="G815" s="1126"/>
      <c r="H815" s="1126"/>
      <c r="I815" s="1126"/>
      <c r="J815" s="1126"/>
      <c r="K815" s="1126"/>
      <c r="L815" s="1126"/>
      <c r="M815" s="1126"/>
      <c r="N815" s="1126"/>
      <c r="O815" s="1126"/>
      <c r="P815" s="1126"/>
      <c r="Q815" s="1126"/>
      <c r="R815" s="1126"/>
      <c r="S815" s="1126"/>
      <c r="T815" s="1126"/>
      <c r="U815" s="1126"/>
      <c r="V815" s="1126"/>
      <c r="W815" s="1126"/>
      <c r="X815" s="1126"/>
      <c r="Y815" s="1126"/>
      <c r="Z815" s="1126"/>
      <c r="AA815" s="1126"/>
    </row>
    <row r="816" ht="15.75" customHeight="1">
      <c r="A816" s="1126"/>
      <c r="B816" s="1126"/>
      <c r="C816" s="1126"/>
      <c r="D816" s="1126"/>
      <c r="E816" s="1126"/>
      <c r="F816" s="1126"/>
      <c r="G816" s="1126"/>
      <c r="H816" s="1126"/>
      <c r="I816" s="1126"/>
      <c r="J816" s="1126"/>
      <c r="K816" s="1126"/>
      <c r="L816" s="1126"/>
      <c r="M816" s="1126"/>
      <c r="N816" s="1126"/>
      <c r="O816" s="1126"/>
      <c r="P816" s="1126"/>
      <c r="Q816" s="1126"/>
      <c r="R816" s="1126"/>
      <c r="S816" s="1126"/>
      <c r="T816" s="1126"/>
      <c r="U816" s="1126"/>
      <c r="V816" s="1126"/>
      <c r="W816" s="1126"/>
      <c r="X816" s="1126"/>
      <c r="Y816" s="1126"/>
      <c r="Z816" s="1126"/>
      <c r="AA816" s="1126"/>
    </row>
    <row r="817" ht="15.75" customHeight="1">
      <c r="A817" s="1126"/>
      <c r="B817" s="1126"/>
      <c r="C817" s="1126"/>
      <c r="D817" s="1126"/>
      <c r="E817" s="1126"/>
      <c r="F817" s="1126"/>
      <c r="G817" s="1126"/>
      <c r="H817" s="1126"/>
      <c r="I817" s="1126"/>
      <c r="J817" s="1126"/>
      <c r="K817" s="1126"/>
      <c r="L817" s="1126"/>
      <c r="M817" s="1126"/>
      <c r="N817" s="1126"/>
      <c r="O817" s="1126"/>
      <c r="P817" s="1126"/>
      <c r="Q817" s="1126"/>
      <c r="R817" s="1126"/>
      <c r="S817" s="1126"/>
      <c r="T817" s="1126"/>
      <c r="U817" s="1126"/>
      <c r="V817" s="1126"/>
      <c r="W817" s="1126"/>
      <c r="X817" s="1126"/>
      <c r="Y817" s="1126"/>
      <c r="Z817" s="1126"/>
      <c r="AA817" s="1126"/>
    </row>
    <row r="818" ht="15.75" customHeight="1">
      <c r="A818" s="1126"/>
      <c r="B818" s="1126"/>
      <c r="C818" s="1126"/>
      <c r="D818" s="1126"/>
      <c r="E818" s="1126"/>
      <c r="F818" s="1126"/>
      <c r="G818" s="1126"/>
      <c r="H818" s="1126"/>
      <c r="I818" s="1126"/>
      <c r="J818" s="1126"/>
      <c r="K818" s="1126"/>
      <c r="L818" s="1126"/>
      <c r="M818" s="1126"/>
      <c r="N818" s="1126"/>
      <c r="O818" s="1126"/>
      <c r="P818" s="1126"/>
      <c r="Q818" s="1126"/>
      <c r="R818" s="1126"/>
      <c r="S818" s="1126"/>
      <c r="T818" s="1126"/>
      <c r="U818" s="1126"/>
      <c r="V818" s="1126"/>
      <c r="W818" s="1126"/>
      <c r="X818" s="1126"/>
      <c r="Y818" s="1126"/>
      <c r="Z818" s="1126"/>
      <c r="AA818" s="1126"/>
    </row>
    <row r="819" ht="15.75" customHeight="1">
      <c r="A819" s="1126"/>
      <c r="B819" s="1126"/>
      <c r="C819" s="1126"/>
      <c r="D819" s="1126"/>
      <c r="E819" s="1126"/>
      <c r="F819" s="1126"/>
      <c r="G819" s="1126"/>
      <c r="H819" s="1126"/>
      <c r="I819" s="1126"/>
      <c r="J819" s="1126"/>
      <c r="K819" s="1126"/>
      <c r="L819" s="1126"/>
      <c r="M819" s="1126"/>
      <c r="N819" s="1126"/>
      <c r="O819" s="1126"/>
      <c r="P819" s="1126"/>
      <c r="Q819" s="1126"/>
      <c r="R819" s="1126"/>
      <c r="S819" s="1126"/>
      <c r="T819" s="1126"/>
      <c r="U819" s="1126"/>
      <c r="V819" s="1126"/>
      <c r="W819" s="1126"/>
      <c r="X819" s="1126"/>
      <c r="Y819" s="1126"/>
      <c r="Z819" s="1126"/>
      <c r="AA819" s="1126"/>
    </row>
    <row r="820" ht="15.75" customHeight="1">
      <c r="A820" s="1126"/>
      <c r="B820" s="1126"/>
      <c r="C820" s="1126"/>
      <c r="D820" s="1126"/>
      <c r="E820" s="1126"/>
      <c r="F820" s="1126"/>
      <c r="G820" s="1126"/>
      <c r="H820" s="1126"/>
      <c r="I820" s="1126"/>
      <c r="J820" s="1126"/>
      <c r="K820" s="1126"/>
      <c r="L820" s="1126"/>
      <c r="M820" s="1126"/>
      <c r="N820" s="1126"/>
      <c r="O820" s="1126"/>
      <c r="P820" s="1126"/>
      <c r="Q820" s="1126"/>
      <c r="R820" s="1126"/>
      <c r="S820" s="1126"/>
      <c r="T820" s="1126"/>
      <c r="U820" s="1126"/>
      <c r="V820" s="1126"/>
      <c r="W820" s="1126"/>
      <c r="X820" s="1126"/>
      <c r="Y820" s="1126"/>
      <c r="Z820" s="1126"/>
      <c r="AA820" s="1126"/>
    </row>
    <row r="821" ht="15.75" customHeight="1">
      <c r="A821" s="1126"/>
      <c r="B821" s="1126"/>
      <c r="C821" s="1126"/>
      <c r="D821" s="1126"/>
      <c r="E821" s="1126"/>
      <c r="F821" s="1126"/>
      <c r="G821" s="1126"/>
      <c r="H821" s="1126"/>
      <c r="I821" s="1126"/>
      <c r="J821" s="1126"/>
      <c r="K821" s="1126"/>
      <c r="L821" s="1126"/>
      <c r="M821" s="1126"/>
      <c r="N821" s="1126"/>
      <c r="O821" s="1126"/>
      <c r="P821" s="1126"/>
      <c r="Q821" s="1126"/>
      <c r="R821" s="1126"/>
      <c r="S821" s="1126"/>
      <c r="T821" s="1126"/>
      <c r="U821" s="1126"/>
      <c r="V821" s="1126"/>
      <c r="W821" s="1126"/>
      <c r="X821" s="1126"/>
      <c r="Y821" s="1126"/>
      <c r="Z821" s="1126"/>
      <c r="AA821" s="1126"/>
    </row>
    <row r="822" ht="15.75" customHeight="1">
      <c r="A822" s="1126"/>
      <c r="B822" s="1126"/>
      <c r="C822" s="1126"/>
      <c r="D822" s="1126"/>
      <c r="E822" s="1126"/>
      <c r="F822" s="1126"/>
      <c r="G822" s="1126"/>
      <c r="H822" s="1126"/>
      <c r="I822" s="1126"/>
      <c r="J822" s="1126"/>
      <c r="K822" s="1126"/>
      <c r="L822" s="1126"/>
      <c r="M822" s="1126"/>
      <c r="N822" s="1126"/>
      <c r="O822" s="1126"/>
      <c r="P822" s="1126"/>
      <c r="Q822" s="1126"/>
      <c r="R822" s="1126"/>
      <c r="S822" s="1126"/>
      <c r="T822" s="1126"/>
      <c r="U822" s="1126"/>
      <c r="V822" s="1126"/>
      <c r="W822" s="1126"/>
      <c r="X822" s="1126"/>
      <c r="Y822" s="1126"/>
      <c r="Z822" s="1126"/>
      <c r="AA822" s="1126"/>
    </row>
    <row r="823" ht="15.75" customHeight="1">
      <c r="A823" s="1126"/>
      <c r="B823" s="1126"/>
      <c r="C823" s="1126"/>
      <c r="D823" s="1126"/>
      <c r="E823" s="1126"/>
      <c r="F823" s="1126"/>
      <c r="G823" s="1126"/>
      <c r="H823" s="1126"/>
      <c r="I823" s="1126"/>
      <c r="J823" s="1126"/>
      <c r="K823" s="1126"/>
      <c r="L823" s="1126"/>
      <c r="M823" s="1126"/>
      <c r="N823" s="1126"/>
      <c r="O823" s="1126"/>
      <c r="P823" s="1126"/>
      <c r="Q823" s="1126"/>
      <c r="R823" s="1126"/>
      <c r="S823" s="1126"/>
      <c r="T823" s="1126"/>
      <c r="U823" s="1126"/>
      <c r="V823" s="1126"/>
      <c r="W823" s="1126"/>
      <c r="X823" s="1126"/>
      <c r="Y823" s="1126"/>
      <c r="Z823" s="1126"/>
      <c r="AA823" s="1126"/>
    </row>
    <row r="824" ht="15.75" customHeight="1">
      <c r="A824" s="1126"/>
      <c r="B824" s="1126"/>
      <c r="C824" s="1126"/>
      <c r="D824" s="1126"/>
      <c r="E824" s="1126"/>
      <c r="F824" s="1126"/>
      <c r="G824" s="1126"/>
      <c r="H824" s="1126"/>
      <c r="I824" s="1126"/>
      <c r="J824" s="1126"/>
      <c r="K824" s="1126"/>
      <c r="L824" s="1126"/>
      <c r="M824" s="1126"/>
      <c r="N824" s="1126"/>
      <c r="O824" s="1126"/>
      <c r="P824" s="1126"/>
      <c r="Q824" s="1126"/>
      <c r="R824" s="1126"/>
      <c r="S824" s="1126"/>
      <c r="T824" s="1126"/>
      <c r="U824" s="1126"/>
      <c r="V824" s="1126"/>
      <c r="W824" s="1126"/>
      <c r="X824" s="1126"/>
      <c r="Y824" s="1126"/>
      <c r="Z824" s="1126"/>
      <c r="AA824" s="1126"/>
    </row>
    <row r="825" ht="15.75" customHeight="1">
      <c r="A825" s="1126"/>
      <c r="B825" s="1126"/>
      <c r="C825" s="1126"/>
      <c r="D825" s="1126"/>
      <c r="E825" s="1126"/>
      <c r="F825" s="1126"/>
      <c r="G825" s="1126"/>
      <c r="H825" s="1126"/>
      <c r="I825" s="1126"/>
      <c r="J825" s="1126"/>
      <c r="K825" s="1126"/>
      <c r="L825" s="1126"/>
      <c r="M825" s="1126"/>
      <c r="N825" s="1126"/>
      <c r="O825" s="1126"/>
      <c r="P825" s="1126"/>
      <c r="Q825" s="1126"/>
      <c r="R825" s="1126"/>
      <c r="S825" s="1126"/>
      <c r="T825" s="1126"/>
      <c r="U825" s="1126"/>
      <c r="V825" s="1126"/>
      <c r="W825" s="1126"/>
      <c r="X825" s="1126"/>
      <c r="Y825" s="1126"/>
      <c r="Z825" s="1126"/>
      <c r="AA825" s="1126"/>
    </row>
    <row r="826" ht="15.75" customHeight="1">
      <c r="A826" s="1126"/>
      <c r="B826" s="1126"/>
      <c r="C826" s="1126"/>
      <c r="D826" s="1126"/>
      <c r="E826" s="1126"/>
      <c r="F826" s="1126"/>
      <c r="G826" s="1126"/>
      <c r="H826" s="1126"/>
      <c r="I826" s="1126"/>
      <c r="J826" s="1126"/>
      <c r="K826" s="1126"/>
      <c r="L826" s="1126"/>
      <c r="M826" s="1126"/>
      <c r="N826" s="1126"/>
      <c r="O826" s="1126"/>
      <c r="P826" s="1126"/>
      <c r="Q826" s="1126"/>
      <c r="R826" s="1126"/>
      <c r="S826" s="1126"/>
      <c r="T826" s="1126"/>
      <c r="U826" s="1126"/>
      <c r="V826" s="1126"/>
      <c r="W826" s="1126"/>
      <c r="X826" s="1126"/>
      <c r="Y826" s="1126"/>
      <c r="Z826" s="1126"/>
      <c r="AA826" s="1126"/>
    </row>
    <row r="827" ht="15.75" customHeight="1">
      <c r="A827" s="1126"/>
      <c r="B827" s="1126"/>
      <c r="C827" s="1126"/>
      <c r="D827" s="1126"/>
      <c r="E827" s="1126"/>
      <c r="F827" s="1126"/>
      <c r="G827" s="1126"/>
      <c r="H827" s="1126"/>
      <c r="I827" s="1126"/>
      <c r="J827" s="1126"/>
      <c r="K827" s="1126"/>
      <c r="L827" s="1126"/>
      <c r="M827" s="1126"/>
      <c r="N827" s="1126"/>
      <c r="O827" s="1126"/>
      <c r="P827" s="1126"/>
      <c r="Q827" s="1126"/>
      <c r="R827" s="1126"/>
      <c r="S827" s="1126"/>
      <c r="T827" s="1126"/>
      <c r="U827" s="1126"/>
      <c r="V827" s="1126"/>
      <c r="W827" s="1126"/>
      <c r="X827" s="1126"/>
      <c r="Y827" s="1126"/>
      <c r="Z827" s="1126"/>
      <c r="AA827" s="1126"/>
    </row>
    <row r="828" ht="15.75" customHeight="1">
      <c r="A828" s="1126"/>
      <c r="B828" s="1126"/>
      <c r="C828" s="1126"/>
      <c r="D828" s="1126"/>
      <c r="E828" s="1126"/>
      <c r="F828" s="1126"/>
      <c r="G828" s="1126"/>
      <c r="H828" s="1126"/>
      <c r="I828" s="1126"/>
      <c r="J828" s="1126"/>
      <c r="K828" s="1126"/>
      <c r="L828" s="1126"/>
      <c r="M828" s="1126"/>
      <c r="N828" s="1126"/>
      <c r="O828" s="1126"/>
      <c r="P828" s="1126"/>
      <c r="Q828" s="1126"/>
      <c r="R828" s="1126"/>
      <c r="S828" s="1126"/>
      <c r="T828" s="1126"/>
      <c r="U828" s="1126"/>
      <c r="V828" s="1126"/>
      <c r="W828" s="1126"/>
      <c r="X828" s="1126"/>
      <c r="Y828" s="1126"/>
      <c r="Z828" s="1126"/>
      <c r="AA828" s="1126"/>
    </row>
    <row r="829" ht="15.75" customHeight="1">
      <c r="A829" s="1126"/>
      <c r="B829" s="1126"/>
      <c r="C829" s="1126"/>
      <c r="D829" s="1126"/>
      <c r="E829" s="1126"/>
      <c r="F829" s="1126"/>
      <c r="G829" s="1126"/>
      <c r="H829" s="1126"/>
      <c r="I829" s="1126"/>
      <c r="J829" s="1126"/>
      <c r="K829" s="1126"/>
      <c r="L829" s="1126"/>
      <c r="M829" s="1126"/>
      <c r="N829" s="1126"/>
      <c r="O829" s="1126"/>
      <c r="P829" s="1126"/>
      <c r="Q829" s="1126"/>
      <c r="R829" s="1126"/>
      <c r="S829" s="1126"/>
      <c r="T829" s="1126"/>
      <c r="U829" s="1126"/>
      <c r="V829" s="1126"/>
      <c r="W829" s="1126"/>
      <c r="X829" s="1126"/>
      <c r="Y829" s="1126"/>
      <c r="Z829" s="1126"/>
      <c r="AA829" s="1126"/>
    </row>
    <row r="830" ht="15.75" customHeight="1">
      <c r="A830" s="1126"/>
      <c r="B830" s="1126"/>
      <c r="C830" s="1126"/>
      <c r="D830" s="1126"/>
      <c r="E830" s="1126"/>
      <c r="F830" s="1126"/>
      <c r="G830" s="1126"/>
      <c r="H830" s="1126"/>
      <c r="I830" s="1126"/>
      <c r="J830" s="1126"/>
      <c r="K830" s="1126"/>
      <c r="L830" s="1126"/>
      <c r="M830" s="1126"/>
      <c r="N830" s="1126"/>
      <c r="O830" s="1126"/>
      <c r="P830" s="1126"/>
      <c r="Q830" s="1126"/>
      <c r="R830" s="1126"/>
      <c r="S830" s="1126"/>
      <c r="T830" s="1126"/>
      <c r="U830" s="1126"/>
      <c r="V830" s="1126"/>
      <c r="W830" s="1126"/>
      <c r="X830" s="1126"/>
      <c r="Y830" s="1126"/>
      <c r="Z830" s="1126"/>
      <c r="AA830" s="1126"/>
    </row>
    <row r="831" ht="15.75" customHeight="1">
      <c r="A831" s="1126"/>
      <c r="B831" s="1126"/>
      <c r="C831" s="1126"/>
      <c r="D831" s="1126"/>
      <c r="E831" s="1126"/>
      <c r="F831" s="1126"/>
      <c r="G831" s="1126"/>
      <c r="H831" s="1126"/>
      <c r="I831" s="1126"/>
      <c r="J831" s="1126"/>
      <c r="K831" s="1126"/>
      <c r="L831" s="1126"/>
      <c r="M831" s="1126"/>
      <c r="N831" s="1126"/>
      <c r="O831" s="1126"/>
      <c r="P831" s="1126"/>
      <c r="Q831" s="1126"/>
      <c r="R831" s="1126"/>
      <c r="S831" s="1126"/>
      <c r="T831" s="1126"/>
      <c r="U831" s="1126"/>
      <c r="V831" s="1126"/>
      <c r="W831" s="1126"/>
      <c r="X831" s="1126"/>
      <c r="Y831" s="1126"/>
      <c r="Z831" s="1126"/>
      <c r="AA831" s="1126"/>
    </row>
    <row r="832" ht="15.75" customHeight="1">
      <c r="A832" s="1126"/>
      <c r="B832" s="1126"/>
      <c r="C832" s="1126"/>
      <c r="D832" s="1126"/>
      <c r="E832" s="1126"/>
      <c r="F832" s="1126"/>
      <c r="G832" s="1126"/>
      <c r="H832" s="1126"/>
      <c r="I832" s="1126"/>
      <c r="J832" s="1126"/>
      <c r="K832" s="1126"/>
      <c r="L832" s="1126"/>
      <c r="M832" s="1126"/>
      <c r="N832" s="1126"/>
      <c r="O832" s="1126"/>
      <c r="P832" s="1126"/>
      <c r="Q832" s="1126"/>
      <c r="R832" s="1126"/>
      <c r="S832" s="1126"/>
      <c r="T832" s="1126"/>
      <c r="U832" s="1126"/>
      <c r="V832" s="1126"/>
      <c r="W832" s="1126"/>
      <c r="X832" s="1126"/>
      <c r="Y832" s="1126"/>
      <c r="Z832" s="1126"/>
      <c r="AA832" s="1126"/>
    </row>
    <row r="833" ht="15.75" customHeight="1">
      <c r="A833" s="1126"/>
      <c r="B833" s="1126"/>
      <c r="C833" s="1126"/>
      <c r="D833" s="1126"/>
      <c r="E833" s="1126"/>
      <c r="F833" s="1126"/>
      <c r="G833" s="1126"/>
      <c r="H833" s="1126"/>
      <c r="I833" s="1126"/>
      <c r="J833" s="1126"/>
      <c r="K833" s="1126"/>
      <c r="L833" s="1126"/>
      <c r="M833" s="1126"/>
      <c r="N833" s="1126"/>
      <c r="O833" s="1126"/>
      <c r="P833" s="1126"/>
      <c r="Q833" s="1126"/>
      <c r="R833" s="1126"/>
      <c r="S833" s="1126"/>
      <c r="T833" s="1126"/>
      <c r="U833" s="1126"/>
      <c r="V833" s="1126"/>
      <c r="W833" s="1126"/>
      <c r="X833" s="1126"/>
      <c r="Y833" s="1126"/>
      <c r="Z833" s="1126"/>
      <c r="AA833" s="1126"/>
    </row>
    <row r="834" ht="15.75" customHeight="1">
      <c r="A834" s="1126"/>
      <c r="B834" s="1126"/>
      <c r="C834" s="1126"/>
      <c r="D834" s="1126"/>
      <c r="E834" s="1126"/>
      <c r="F834" s="1126"/>
      <c r="G834" s="1126"/>
      <c r="H834" s="1126"/>
      <c r="I834" s="1126"/>
      <c r="J834" s="1126"/>
      <c r="K834" s="1126"/>
      <c r="L834" s="1126"/>
      <c r="M834" s="1126"/>
      <c r="N834" s="1126"/>
      <c r="O834" s="1126"/>
      <c r="P834" s="1126"/>
      <c r="Q834" s="1126"/>
      <c r="R834" s="1126"/>
      <c r="S834" s="1126"/>
      <c r="T834" s="1126"/>
      <c r="U834" s="1126"/>
      <c r="V834" s="1126"/>
      <c r="W834" s="1126"/>
      <c r="X834" s="1126"/>
      <c r="Y834" s="1126"/>
      <c r="Z834" s="1126"/>
      <c r="AA834" s="1126"/>
    </row>
    <row r="835" ht="15.75" customHeight="1">
      <c r="A835" s="1126"/>
      <c r="B835" s="1126"/>
      <c r="C835" s="1126"/>
      <c r="D835" s="1126"/>
      <c r="E835" s="1126"/>
      <c r="F835" s="1126"/>
      <c r="G835" s="1126"/>
      <c r="H835" s="1126"/>
      <c r="I835" s="1126"/>
      <c r="J835" s="1126"/>
      <c r="K835" s="1126"/>
      <c r="L835" s="1126"/>
      <c r="M835" s="1126"/>
      <c r="N835" s="1126"/>
      <c r="O835" s="1126"/>
      <c r="P835" s="1126"/>
      <c r="Q835" s="1126"/>
      <c r="R835" s="1126"/>
      <c r="S835" s="1126"/>
      <c r="T835" s="1126"/>
      <c r="U835" s="1126"/>
      <c r="V835" s="1126"/>
      <c r="W835" s="1126"/>
      <c r="X835" s="1126"/>
      <c r="Y835" s="1126"/>
      <c r="Z835" s="1126"/>
      <c r="AA835" s="1126"/>
    </row>
    <row r="836" ht="15.75" customHeight="1">
      <c r="A836" s="1126"/>
      <c r="B836" s="1126"/>
      <c r="C836" s="1126"/>
      <c r="D836" s="1126"/>
      <c r="E836" s="1126"/>
      <c r="F836" s="1126"/>
      <c r="G836" s="1126"/>
      <c r="H836" s="1126"/>
      <c r="I836" s="1126"/>
      <c r="J836" s="1126"/>
      <c r="K836" s="1126"/>
      <c r="L836" s="1126"/>
      <c r="M836" s="1126"/>
      <c r="N836" s="1126"/>
      <c r="O836" s="1126"/>
      <c r="P836" s="1126"/>
      <c r="Q836" s="1126"/>
      <c r="R836" s="1126"/>
      <c r="S836" s="1126"/>
      <c r="T836" s="1126"/>
      <c r="U836" s="1126"/>
      <c r="V836" s="1126"/>
      <c r="W836" s="1126"/>
      <c r="X836" s="1126"/>
      <c r="Y836" s="1126"/>
      <c r="Z836" s="1126"/>
      <c r="AA836" s="1126"/>
    </row>
    <row r="837" ht="15.75" customHeight="1">
      <c r="A837" s="1126"/>
      <c r="B837" s="1126"/>
      <c r="C837" s="1126"/>
      <c r="D837" s="1126"/>
      <c r="E837" s="1126"/>
      <c r="F837" s="1126"/>
      <c r="G837" s="1126"/>
      <c r="H837" s="1126"/>
      <c r="I837" s="1126"/>
      <c r="J837" s="1126"/>
      <c r="K837" s="1126"/>
      <c r="L837" s="1126"/>
      <c r="M837" s="1126"/>
      <c r="N837" s="1126"/>
      <c r="O837" s="1126"/>
      <c r="P837" s="1126"/>
      <c r="Q837" s="1126"/>
      <c r="R837" s="1126"/>
      <c r="S837" s="1126"/>
      <c r="T837" s="1126"/>
      <c r="U837" s="1126"/>
      <c r="V837" s="1126"/>
      <c r="W837" s="1126"/>
      <c r="X837" s="1126"/>
      <c r="Y837" s="1126"/>
      <c r="Z837" s="1126"/>
      <c r="AA837" s="1126"/>
    </row>
    <row r="838" ht="15.75" customHeight="1">
      <c r="A838" s="1126"/>
      <c r="B838" s="1126"/>
      <c r="C838" s="1126"/>
      <c r="D838" s="1126"/>
      <c r="E838" s="1126"/>
      <c r="F838" s="1126"/>
      <c r="G838" s="1126"/>
      <c r="H838" s="1126"/>
      <c r="I838" s="1126"/>
      <c r="J838" s="1126"/>
      <c r="K838" s="1126"/>
      <c r="L838" s="1126"/>
      <c r="M838" s="1126"/>
      <c r="N838" s="1126"/>
      <c r="O838" s="1126"/>
      <c r="P838" s="1126"/>
      <c r="Q838" s="1126"/>
      <c r="R838" s="1126"/>
      <c r="S838" s="1126"/>
      <c r="T838" s="1126"/>
      <c r="U838" s="1126"/>
      <c r="V838" s="1126"/>
      <c r="W838" s="1126"/>
      <c r="X838" s="1126"/>
      <c r="Y838" s="1126"/>
      <c r="Z838" s="1126"/>
      <c r="AA838" s="1126"/>
    </row>
    <row r="839" ht="15.75" customHeight="1">
      <c r="A839" s="1126"/>
      <c r="B839" s="1126"/>
      <c r="C839" s="1126"/>
      <c r="D839" s="1126"/>
      <c r="E839" s="1126"/>
      <c r="F839" s="1126"/>
      <c r="G839" s="1126"/>
      <c r="H839" s="1126"/>
      <c r="I839" s="1126"/>
      <c r="J839" s="1126"/>
      <c r="K839" s="1126"/>
      <c r="L839" s="1126"/>
      <c r="M839" s="1126"/>
      <c r="N839" s="1126"/>
      <c r="O839" s="1126"/>
      <c r="P839" s="1126"/>
      <c r="Q839" s="1126"/>
      <c r="R839" s="1126"/>
      <c r="S839" s="1126"/>
      <c r="T839" s="1126"/>
      <c r="U839" s="1126"/>
      <c r="V839" s="1126"/>
      <c r="W839" s="1126"/>
      <c r="X839" s="1126"/>
      <c r="Y839" s="1126"/>
      <c r="Z839" s="1126"/>
      <c r="AA839" s="1126"/>
    </row>
    <row r="840" ht="15.75" customHeight="1">
      <c r="A840" s="1126"/>
      <c r="B840" s="1126"/>
      <c r="C840" s="1126"/>
      <c r="D840" s="1126"/>
      <c r="E840" s="1126"/>
      <c r="F840" s="1126"/>
      <c r="G840" s="1126"/>
      <c r="H840" s="1126"/>
      <c r="I840" s="1126"/>
      <c r="J840" s="1126"/>
      <c r="K840" s="1126"/>
      <c r="L840" s="1126"/>
      <c r="M840" s="1126"/>
      <c r="N840" s="1126"/>
      <c r="O840" s="1126"/>
      <c r="P840" s="1126"/>
      <c r="Q840" s="1126"/>
      <c r="R840" s="1126"/>
      <c r="S840" s="1126"/>
      <c r="T840" s="1126"/>
      <c r="U840" s="1126"/>
      <c r="V840" s="1126"/>
      <c r="W840" s="1126"/>
      <c r="X840" s="1126"/>
      <c r="Y840" s="1126"/>
      <c r="Z840" s="1126"/>
      <c r="AA840" s="1126"/>
    </row>
    <row r="841" ht="15.75" customHeight="1">
      <c r="A841" s="1126"/>
      <c r="B841" s="1126"/>
      <c r="C841" s="1126"/>
      <c r="D841" s="1126"/>
      <c r="E841" s="1126"/>
      <c r="F841" s="1126"/>
      <c r="G841" s="1126"/>
      <c r="H841" s="1126"/>
      <c r="I841" s="1126"/>
      <c r="J841" s="1126"/>
      <c r="K841" s="1126"/>
      <c r="L841" s="1126"/>
      <c r="M841" s="1126"/>
      <c r="N841" s="1126"/>
      <c r="O841" s="1126"/>
      <c r="P841" s="1126"/>
      <c r="Q841" s="1126"/>
      <c r="R841" s="1126"/>
      <c r="S841" s="1126"/>
      <c r="T841" s="1126"/>
      <c r="U841" s="1126"/>
      <c r="V841" s="1126"/>
      <c r="W841" s="1126"/>
      <c r="X841" s="1126"/>
      <c r="Y841" s="1126"/>
      <c r="Z841" s="1126"/>
      <c r="AA841" s="1126"/>
    </row>
    <row r="842" ht="15.75" customHeight="1">
      <c r="A842" s="1126"/>
      <c r="B842" s="1126"/>
      <c r="C842" s="1126"/>
      <c r="D842" s="1126"/>
      <c r="E842" s="1126"/>
      <c r="F842" s="1126"/>
      <c r="G842" s="1126"/>
      <c r="H842" s="1126"/>
      <c r="I842" s="1126"/>
      <c r="J842" s="1126"/>
      <c r="K842" s="1126"/>
      <c r="L842" s="1126"/>
      <c r="M842" s="1126"/>
      <c r="N842" s="1126"/>
      <c r="O842" s="1126"/>
      <c r="P842" s="1126"/>
      <c r="Q842" s="1126"/>
      <c r="R842" s="1126"/>
      <c r="S842" s="1126"/>
      <c r="T842" s="1126"/>
      <c r="U842" s="1126"/>
      <c r="V842" s="1126"/>
      <c r="W842" s="1126"/>
      <c r="X842" s="1126"/>
      <c r="Y842" s="1126"/>
      <c r="Z842" s="1126"/>
      <c r="AA842" s="1126"/>
    </row>
    <row r="843" ht="15.75" customHeight="1">
      <c r="A843" s="1126"/>
      <c r="B843" s="1126"/>
      <c r="C843" s="1126"/>
      <c r="D843" s="1126"/>
      <c r="E843" s="1126"/>
      <c r="F843" s="1126"/>
      <c r="G843" s="1126"/>
      <c r="H843" s="1126"/>
      <c r="I843" s="1126"/>
      <c r="J843" s="1126"/>
      <c r="K843" s="1126"/>
      <c r="L843" s="1126"/>
      <c r="M843" s="1126"/>
      <c r="N843" s="1126"/>
      <c r="O843" s="1126"/>
      <c r="P843" s="1126"/>
      <c r="Q843" s="1126"/>
      <c r="R843" s="1126"/>
      <c r="S843" s="1126"/>
      <c r="T843" s="1126"/>
      <c r="U843" s="1126"/>
      <c r="V843" s="1126"/>
      <c r="W843" s="1126"/>
      <c r="X843" s="1126"/>
      <c r="Y843" s="1126"/>
      <c r="Z843" s="1126"/>
      <c r="AA843" s="1126"/>
    </row>
    <row r="844" ht="15.75" customHeight="1">
      <c r="A844" s="1126"/>
      <c r="B844" s="1126"/>
      <c r="C844" s="1126"/>
      <c r="D844" s="1126"/>
      <c r="E844" s="1126"/>
      <c r="F844" s="1126"/>
      <c r="G844" s="1126"/>
      <c r="H844" s="1126"/>
      <c r="I844" s="1126"/>
      <c r="J844" s="1126"/>
      <c r="K844" s="1126"/>
      <c r="L844" s="1126"/>
      <c r="M844" s="1126"/>
      <c r="N844" s="1126"/>
      <c r="O844" s="1126"/>
      <c r="P844" s="1126"/>
      <c r="Q844" s="1126"/>
      <c r="R844" s="1126"/>
      <c r="S844" s="1126"/>
      <c r="T844" s="1126"/>
      <c r="U844" s="1126"/>
      <c r="V844" s="1126"/>
      <c r="W844" s="1126"/>
      <c r="X844" s="1126"/>
      <c r="Y844" s="1126"/>
      <c r="Z844" s="1126"/>
      <c r="AA844" s="1126"/>
    </row>
    <row r="845" ht="15.75" customHeight="1">
      <c r="A845" s="1126"/>
      <c r="B845" s="1126"/>
      <c r="C845" s="1126"/>
      <c r="D845" s="1126"/>
      <c r="E845" s="1126"/>
      <c r="F845" s="1126"/>
      <c r="G845" s="1126"/>
      <c r="H845" s="1126"/>
      <c r="I845" s="1126"/>
      <c r="J845" s="1126"/>
      <c r="K845" s="1126"/>
      <c r="L845" s="1126"/>
      <c r="M845" s="1126"/>
      <c r="N845" s="1126"/>
      <c r="O845" s="1126"/>
      <c r="P845" s="1126"/>
      <c r="Q845" s="1126"/>
      <c r="R845" s="1126"/>
      <c r="S845" s="1126"/>
      <c r="T845" s="1126"/>
      <c r="U845" s="1126"/>
      <c r="V845" s="1126"/>
      <c r="W845" s="1126"/>
      <c r="X845" s="1126"/>
      <c r="Y845" s="1126"/>
      <c r="Z845" s="1126"/>
      <c r="AA845" s="1126"/>
    </row>
    <row r="846" ht="15.75" customHeight="1">
      <c r="A846" s="1126"/>
      <c r="B846" s="1126"/>
      <c r="C846" s="1126"/>
      <c r="D846" s="1126"/>
      <c r="E846" s="1126"/>
      <c r="F846" s="1126"/>
      <c r="G846" s="1126"/>
      <c r="H846" s="1126"/>
      <c r="I846" s="1126"/>
      <c r="J846" s="1126"/>
      <c r="K846" s="1126"/>
      <c r="L846" s="1126"/>
      <c r="M846" s="1126"/>
      <c r="N846" s="1126"/>
      <c r="O846" s="1126"/>
      <c r="P846" s="1126"/>
      <c r="Q846" s="1126"/>
      <c r="R846" s="1126"/>
      <c r="S846" s="1126"/>
      <c r="T846" s="1126"/>
      <c r="U846" s="1126"/>
      <c r="V846" s="1126"/>
      <c r="W846" s="1126"/>
      <c r="X846" s="1126"/>
      <c r="Y846" s="1126"/>
      <c r="Z846" s="1126"/>
      <c r="AA846" s="1126"/>
    </row>
    <row r="847" ht="15.75" customHeight="1">
      <c r="A847" s="1126"/>
      <c r="B847" s="1126"/>
      <c r="C847" s="1126"/>
      <c r="D847" s="1126"/>
      <c r="E847" s="1126"/>
      <c r="F847" s="1126"/>
      <c r="G847" s="1126"/>
      <c r="H847" s="1126"/>
      <c r="I847" s="1126"/>
      <c r="J847" s="1126"/>
      <c r="K847" s="1126"/>
      <c r="L847" s="1126"/>
      <c r="M847" s="1126"/>
      <c r="N847" s="1126"/>
      <c r="O847" s="1126"/>
      <c r="P847" s="1126"/>
      <c r="Q847" s="1126"/>
      <c r="R847" s="1126"/>
      <c r="S847" s="1126"/>
      <c r="T847" s="1126"/>
      <c r="U847" s="1126"/>
      <c r="V847" s="1126"/>
      <c r="W847" s="1126"/>
      <c r="X847" s="1126"/>
      <c r="Y847" s="1126"/>
      <c r="Z847" s="1126"/>
      <c r="AA847" s="1126"/>
    </row>
    <row r="848" ht="15.75" customHeight="1">
      <c r="A848" s="1126"/>
      <c r="B848" s="1126"/>
      <c r="C848" s="1126"/>
      <c r="D848" s="1126"/>
      <c r="E848" s="1126"/>
      <c r="F848" s="1126"/>
      <c r="G848" s="1126"/>
      <c r="H848" s="1126"/>
      <c r="I848" s="1126"/>
      <c r="J848" s="1126"/>
      <c r="K848" s="1126"/>
      <c r="L848" s="1126"/>
      <c r="M848" s="1126"/>
      <c r="N848" s="1126"/>
      <c r="O848" s="1126"/>
      <c r="P848" s="1126"/>
      <c r="Q848" s="1126"/>
      <c r="R848" s="1126"/>
      <c r="S848" s="1126"/>
      <c r="T848" s="1126"/>
      <c r="U848" s="1126"/>
      <c r="V848" s="1126"/>
      <c r="W848" s="1126"/>
      <c r="X848" s="1126"/>
      <c r="Y848" s="1126"/>
      <c r="Z848" s="1126"/>
      <c r="AA848" s="1126"/>
    </row>
    <row r="849" ht="15.75" customHeight="1">
      <c r="A849" s="1126"/>
      <c r="B849" s="1126"/>
      <c r="C849" s="1126"/>
      <c r="D849" s="1126"/>
      <c r="E849" s="1126"/>
      <c r="F849" s="1126"/>
      <c r="G849" s="1126"/>
      <c r="H849" s="1126"/>
      <c r="I849" s="1126"/>
      <c r="J849" s="1126"/>
      <c r="K849" s="1126"/>
      <c r="L849" s="1126"/>
      <c r="M849" s="1126"/>
      <c r="N849" s="1126"/>
      <c r="O849" s="1126"/>
      <c r="P849" s="1126"/>
      <c r="Q849" s="1126"/>
      <c r="R849" s="1126"/>
      <c r="S849" s="1126"/>
      <c r="T849" s="1126"/>
      <c r="U849" s="1126"/>
      <c r="V849" s="1126"/>
      <c r="W849" s="1126"/>
      <c r="X849" s="1126"/>
      <c r="Y849" s="1126"/>
      <c r="Z849" s="1126"/>
      <c r="AA849" s="1126"/>
    </row>
    <row r="850" ht="15.75" customHeight="1">
      <c r="A850" s="1126"/>
      <c r="B850" s="1126"/>
      <c r="C850" s="1126"/>
      <c r="D850" s="1126"/>
      <c r="E850" s="1126"/>
      <c r="F850" s="1126"/>
      <c r="G850" s="1126"/>
      <c r="H850" s="1126"/>
      <c r="I850" s="1126"/>
      <c r="J850" s="1126"/>
      <c r="K850" s="1126"/>
      <c r="L850" s="1126"/>
      <c r="M850" s="1126"/>
      <c r="N850" s="1126"/>
      <c r="O850" s="1126"/>
      <c r="P850" s="1126"/>
      <c r="Q850" s="1126"/>
      <c r="R850" s="1126"/>
      <c r="S850" s="1126"/>
      <c r="T850" s="1126"/>
      <c r="U850" s="1126"/>
      <c r="V850" s="1126"/>
      <c r="W850" s="1126"/>
      <c r="X850" s="1126"/>
      <c r="Y850" s="1126"/>
      <c r="Z850" s="1126"/>
      <c r="AA850" s="1126"/>
    </row>
    <row r="851" ht="15.75" customHeight="1">
      <c r="A851" s="1126"/>
      <c r="B851" s="1126"/>
      <c r="C851" s="1126"/>
      <c r="D851" s="1126"/>
      <c r="E851" s="1126"/>
      <c r="F851" s="1126"/>
      <c r="G851" s="1126"/>
      <c r="H851" s="1126"/>
      <c r="I851" s="1126"/>
      <c r="J851" s="1126"/>
      <c r="K851" s="1126"/>
      <c r="L851" s="1126"/>
      <c r="M851" s="1126"/>
      <c r="N851" s="1126"/>
      <c r="O851" s="1126"/>
      <c r="P851" s="1126"/>
      <c r="Q851" s="1126"/>
      <c r="R851" s="1126"/>
      <c r="S851" s="1126"/>
      <c r="T851" s="1126"/>
      <c r="U851" s="1126"/>
      <c r="V851" s="1126"/>
      <c r="W851" s="1126"/>
      <c r="X851" s="1126"/>
      <c r="Y851" s="1126"/>
      <c r="Z851" s="1126"/>
      <c r="AA851" s="1126"/>
    </row>
    <row r="852" ht="15.75" customHeight="1">
      <c r="A852" s="1126"/>
      <c r="B852" s="1126"/>
      <c r="C852" s="1126"/>
      <c r="D852" s="1126"/>
      <c r="E852" s="1126"/>
      <c r="F852" s="1126"/>
      <c r="G852" s="1126"/>
      <c r="H852" s="1126"/>
      <c r="I852" s="1126"/>
      <c r="J852" s="1126"/>
      <c r="K852" s="1126"/>
      <c r="L852" s="1126"/>
      <c r="M852" s="1126"/>
      <c r="N852" s="1126"/>
      <c r="O852" s="1126"/>
      <c r="P852" s="1126"/>
      <c r="Q852" s="1126"/>
      <c r="R852" s="1126"/>
      <c r="S852" s="1126"/>
      <c r="T852" s="1126"/>
      <c r="U852" s="1126"/>
      <c r="V852" s="1126"/>
      <c r="W852" s="1126"/>
      <c r="X852" s="1126"/>
      <c r="Y852" s="1126"/>
      <c r="Z852" s="1126"/>
      <c r="AA852" s="1126"/>
    </row>
    <row r="853" ht="15.75" customHeight="1">
      <c r="A853" s="1126"/>
      <c r="B853" s="1126"/>
      <c r="C853" s="1126"/>
      <c r="D853" s="1126"/>
      <c r="E853" s="1126"/>
      <c r="F853" s="1126"/>
      <c r="G853" s="1126"/>
      <c r="H853" s="1126"/>
      <c r="I853" s="1126"/>
      <c r="J853" s="1126"/>
      <c r="K853" s="1126"/>
      <c r="L853" s="1126"/>
      <c r="M853" s="1126"/>
      <c r="N853" s="1126"/>
      <c r="O853" s="1126"/>
      <c r="P853" s="1126"/>
      <c r="Q853" s="1126"/>
      <c r="R853" s="1126"/>
      <c r="S853" s="1126"/>
      <c r="T853" s="1126"/>
      <c r="U853" s="1126"/>
      <c r="V853" s="1126"/>
      <c r="W853" s="1126"/>
      <c r="X853" s="1126"/>
      <c r="Y853" s="1126"/>
      <c r="Z853" s="1126"/>
      <c r="AA853" s="1126"/>
    </row>
    <row r="854" ht="15.75" customHeight="1">
      <c r="A854" s="1126"/>
      <c r="B854" s="1126"/>
      <c r="C854" s="1126"/>
      <c r="D854" s="1126"/>
      <c r="E854" s="1126"/>
      <c r="F854" s="1126"/>
      <c r="G854" s="1126"/>
      <c r="H854" s="1126"/>
      <c r="I854" s="1126"/>
      <c r="J854" s="1126"/>
      <c r="K854" s="1126"/>
      <c r="L854" s="1126"/>
      <c r="M854" s="1126"/>
      <c r="N854" s="1126"/>
      <c r="O854" s="1126"/>
      <c r="P854" s="1126"/>
      <c r="Q854" s="1126"/>
      <c r="R854" s="1126"/>
      <c r="S854" s="1126"/>
      <c r="T854" s="1126"/>
      <c r="U854" s="1126"/>
      <c r="V854" s="1126"/>
      <c r="W854" s="1126"/>
      <c r="X854" s="1126"/>
      <c r="Y854" s="1126"/>
      <c r="Z854" s="1126"/>
      <c r="AA854" s="1126"/>
    </row>
    <row r="855" ht="15.75" customHeight="1">
      <c r="A855" s="1126"/>
      <c r="B855" s="1126"/>
      <c r="C855" s="1126"/>
      <c r="D855" s="1126"/>
      <c r="E855" s="1126"/>
      <c r="F855" s="1126"/>
      <c r="G855" s="1126"/>
      <c r="H855" s="1126"/>
      <c r="I855" s="1126"/>
      <c r="J855" s="1126"/>
      <c r="K855" s="1126"/>
      <c r="L855" s="1126"/>
      <c r="M855" s="1126"/>
      <c r="N855" s="1126"/>
      <c r="O855" s="1126"/>
      <c r="P855" s="1126"/>
      <c r="Q855" s="1126"/>
      <c r="R855" s="1126"/>
      <c r="S855" s="1126"/>
      <c r="T855" s="1126"/>
      <c r="U855" s="1126"/>
      <c r="V855" s="1126"/>
      <c r="W855" s="1126"/>
      <c r="X855" s="1126"/>
      <c r="Y855" s="1126"/>
      <c r="Z855" s="1126"/>
      <c r="AA855" s="1126"/>
    </row>
    <row r="856" ht="15.75" customHeight="1">
      <c r="A856" s="1126"/>
      <c r="B856" s="1126"/>
      <c r="C856" s="1126"/>
      <c r="D856" s="1126"/>
      <c r="E856" s="1126"/>
      <c r="F856" s="1126"/>
      <c r="G856" s="1126"/>
      <c r="H856" s="1126"/>
      <c r="I856" s="1126"/>
      <c r="J856" s="1126"/>
      <c r="K856" s="1126"/>
      <c r="L856" s="1126"/>
      <c r="M856" s="1126"/>
      <c r="N856" s="1126"/>
      <c r="O856" s="1126"/>
      <c r="P856" s="1126"/>
      <c r="Q856" s="1126"/>
      <c r="R856" s="1126"/>
      <c r="S856" s="1126"/>
      <c r="T856" s="1126"/>
      <c r="U856" s="1126"/>
      <c r="V856" s="1126"/>
      <c r="W856" s="1126"/>
      <c r="X856" s="1126"/>
      <c r="Y856" s="1126"/>
      <c r="Z856" s="1126"/>
      <c r="AA856" s="1126"/>
    </row>
    <row r="857" ht="15.75" customHeight="1">
      <c r="A857" s="1126"/>
      <c r="B857" s="1126"/>
      <c r="C857" s="1126"/>
      <c r="D857" s="1126"/>
      <c r="E857" s="1126"/>
      <c r="F857" s="1126"/>
      <c r="G857" s="1126"/>
      <c r="H857" s="1126"/>
      <c r="I857" s="1126"/>
      <c r="J857" s="1126"/>
      <c r="K857" s="1126"/>
      <c r="L857" s="1126"/>
      <c r="M857" s="1126"/>
      <c r="N857" s="1126"/>
      <c r="O857" s="1126"/>
      <c r="P857" s="1126"/>
      <c r="Q857" s="1126"/>
      <c r="R857" s="1126"/>
      <c r="S857" s="1126"/>
      <c r="T857" s="1126"/>
      <c r="U857" s="1126"/>
      <c r="V857" s="1126"/>
      <c r="W857" s="1126"/>
      <c r="X857" s="1126"/>
      <c r="Y857" s="1126"/>
      <c r="Z857" s="1126"/>
      <c r="AA857" s="1126"/>
    </row>
    <row r="858" ht="15.75" customHeight="1">
      <c r="A858" s="1126"/>
      <c r="B858" s="1126"/>
      <c r="C858" s="1126"/>
      <c r="D858" s="1126"/>
      <c r="E858" s="1126"/>
      <c r="F858" s="1126"/>
      <c r="G858" s="1126"/>
      <c r="H858" s="1126"/>
      <c r="I858" s="1126"/>
      <c r="J858" s="1126"/>
      <c r="K858" s="1126"/>
      <c r="L858" s="1126"/>
      <c r="M858" s="1126"/>
      <c r="N858" s="1126"/>
      <c r="O858" s="1126"/>
      <c r="P858" s="1126"/>
      <c r="Q858" s="1126"/>
      <c r="R858" s="1126"/>
      <c r="S858" s="1126"/>
      <c r="T858" s="1126"/>
      <c r="U858" s="1126"/>
      <c r="V858" s="1126"/>
      <c r="W858" s="1126"/>
      <c r="X858" s="1126"/>
      <c r="Y858" s="1126"/>
      <c r="Z858" s="1126"/>
      <c r="AA858" s="1126"/>
    </row>
    <row r="859" ht="15.75" customHeight="1">
      <c r="A859" s="1126"/>
      <c r="B859" s="1126"/>
      <c r="C859" s="1126"/>
      <c r="D859" s="1126"/>
      <c r="E859" s="1126"/>
      <c r="F859" s="1126"/>
      <c r="G859" s="1126"/>
      <c r="H859" s="1126"/>
      <c r="I859" s="1126"/>
      <c r="J859" s="1126"/>
      <c r="K859" s="1126"/>
      <c r="L859" s="1126"/>
      <c r="M859" s="1126"/>
      <c r="N859" s="1126"/>
      <c r="O859" s="1126"/>
      <c r="P859" s="1126"/>
      <c r="Q859" s="1126"/>
      <c r="R859" s="1126"/>
      <c r="S859" s="1126"/>
      <c r="T859" s="1126"/>
      <c r="U859" s="1126"/>
      <c r="V859" s="1126"/>
      <c r="W859" s="1126"/>
      <c r="X859" s="1126"/>
      <c r="Y859" s="1126"/>
      <c r="Z859" s="1126"/>
      <c r="AA859" s="1126"/>
    </row>
    <row r="860" ht="15.75" customHeight="1">
      <c r="A860" s="1126"/>
      <c r="B860" s="1126"/>
      <c r="C860" s="1126"/>
      <c r="D860" s="1126"/>
      <c r="E860" s="1126"/>
      <c r="F860" s="1126"/>
      <c r="G860" s="1126"/>
      <c r="H860" s="1126"/>
      <c r="I860" s="1126"/>
      <c r="J860" s="1126"/>
      <c r="K860" s="1126"/>
      <c r="L860" s="1126"/>
      <c r="M860" s="1126"/>
      <c r="N860" s="1126"/>
      <c r="O860" s="1126"/>
      <c r="P860" s="1126"/>
      <c r="Q860" s="1126"/>
      <c r="R860" s="1126"/>
      <c r="S860" s="1126"/>
      <c r="T860" s="1126"/>
      <c r="U860" s="1126"/>
      <c r="V860" s="1126"/>
      <c r="W860" s="1126"/>
      <c r="X860" s="1126"/>
      <c r="Y860" s="1126"/>
      <c r="Z860" s="1126"/>
      <c r="AA860" s="1126"/>
    </row>
    <row r="861" ht="15.75" customHeight="1">
      <c r="A861" s="1126"/>
      <c r="B861" s="1126"/>
      <c r="C861" s="1126"/>
      <c r="D861" s="1126"/>
      <c r="E861" s="1126"/>
      <c r="F861" s="1126"/>
      <c r="G861" s="1126"/>
      <c r="H861" s="1126"/>
      <c r="I861" s="1126"/>
      <c r="J861" s="1126"/>
      <c r="K861" s="1126"/>
      <c r="L861" s="1126"/>
      <c r="M861" s="1126"/>
      <c r="N861" s="1126"/>
      <c r="O861" s="1126"/>
      <c r="P861" s="1126"/>
      <c r="Q861" s="1126"/>
      <c r="R861" s="1126"/>
      <c r="S861" s="1126"/>
      <c r="T861" s="1126"/>
      <c r="U861" s="1126"/>
      <c r="V861" s="1126"/>
      <c r="W861" s="1126"/>
      <c r="X861" s="1126"/>
      <c r="Y861" s="1126"/>
      <c r="Z861" s="1126"/>
      <c r="AA861" s="1126"/>
    </row>
    <row r="862" ht="15.75" customHeight="1">
      <c r="A862" s="1126"/>
      <c r="B862" s="1126"/>
      <c r="C862" s="1126"/>
      <c r="D862" s="1126"/>
      <c r="E862" s="1126"/>
      <c r="F862" s="1126"/>
      <c r="G862" s="1126"/>
      <c r="H862" s="1126"/>
      <c r="I862" s="1126"/>
      <c r="J862" s="1126"/>
      <c r="K862" s="1126"/>
      <c r="L862" s="1126"/>
      <c r="M862" s="1126"/>
      <c r="N862" s="1126"/>
      <c r="O862" s="1126"/>
      <c r="P862" s="1126"/>
      <c r="Q862" s="1126"/>
      <c r="R862" s="1126"/>
      <c r="S862" s="1126"/>
      <c r="T862" s="1126"/>
      <c r="U862" s="1126"/>
      <c r="V862" s="1126"/>
      <c r="W862" s="1126"/>
      <c r="X862" s="1126"/>
      <c r="Y862" s="1126"/>
      <c r="Z862" s="1126"/>
      <c r="AA862" s="1126"/>
    </row>
    <row r="863" ht="15.75" customHeight="1">
      <c r="A863" s="1126"/>
      <c r="B863" s="1126"/>
      <c r="C863" s="1126"/>
      <c r="D863" s="1126"/>
      <c r="E863" s="1126"/>
      <c r="F863" s="1126"/>
      <c r="G863" s="1126"/>
      <c r="H863" s="1126"/>
      <c r="I863" s="1126"/>
      <c r="J863" s="1126"/>
      <c r="K863" s="1126"/>
      <c r="L863" s="1126"/>
      <c r="M863" s="1126"/>
      <c r="N863" s="1126"/>
      <c r="O863" s="1126"/>
      <c r="P863" s="1126"/>
      <c r="Q863" s="1126"/>
      <c r="R863" s="1126"/>
      <c r="S863" s="1126"/>
      <c r="T863" s="1126"/>
      <c r="U863" s="1126"/>
      <c r="V863" s="1126"/>
      <c r="W863" s="1126"/>
      <c r="X863" s="1126"/>
      <c r="Y863" s="1126"/>
      <c r="Z863" s="1126"/>
      <c r="AA863" s="1126"/>
    </row>
    <row r="864" ht="15.75" customHeight="1">
      <c r="A864" s="1126"/>
      <c r="B864" s="1126"/>
      <c r="C864" s="1126"/>
      <c r="D864" s="1126"/>
      <c r="E864" s="1126"/>
      <c r="F864" s="1126"/>
      <c r="G864" s="1126"/>
      <c r="H864" s="1126"/>
      <c r="I864" s="1126"/>
      <c r="J864" s="1126"/>
      <c r="K864" s="1126"/>
      <c r="L864" s="1126"/>
      <c r="M864" s="1126"/>
      <c r="N864" s="1126"/>
      <c r="O864" s="1126"/>
      <c r="P864" s="1126"/>
      <c r="Q864" s="1126"/>
      <c r="R864" s="1126"/>
      <c r="S864" s="1126"/>
      <c r="T864" s="1126"/>
      <c r="U864" s="1126"/>
      <c r="V864" s="1126"/>
      <c r="W864" s="1126"/>
      <c r="X864" s="1126"/>
      <c r="Y864" s="1126"/>
      <c r="Z864" s="1126"/>
      <c r="AA864" s="1126"/>
    </row>
    <row r="865" ht="15.75" customHeight="1">
      <c r="A865" s="1126"/>
      <c r="B865" s="1126"/>
      <c r="C865" s="1126"/>
      <c r="D865" s="1126"/>
      <c r="E865" s="1126"/>
      <c r="F865" s="1126"/>
      <c r="G865" s="1126"/>
      <c r="H865" s="1126"/>
      <c r="I865" s="1126"/>
      <c r="J865" s="1126"/>
      <c r="K865" s="1126"/>
      <c r="L865" s="1126"/>
      <c r="M865" s="1126"/>
      <c r="N865" s="1126"/>
      <c r="O865" s="1126"/>
      <c r="P865" s="1126"/>
      <c r="Q865" s="1126"/>
      <c r="R865" s="1126"/>
      <c r="S865" s="1126"/>
      <c r="T865" s="1126"/>
      <c r="U865" s="1126"/>
      <c r="V865" s="1126"/>
      <c r="W865" s="1126"/>
      <c r="X865" s="1126"/>
      <c r="Y865" s="1126"/>
      <c r="Z865" s="1126"/>
      <c r="AA865" s="1126"/>
    </row>
    <row r="866" ht="15.75" customHeight="1">
      <c r="A866" s="1126"/>
      <c r="B866" s="1126"/>
      <c r="C866" s="1126"/>
      <c r="D866" s="1126"/>
      <c r="E866" s="1126"/>
      <c r="F866" s="1126"/>
      <c r="G866" s="1126"/>
      <c r="H866" s="1126"/>
      <c r="I866" s="1126"/>
      <c r="J866" s="1126"/>
      <c r="K866" s="1126"/>
      <c r="L866" s="1126"/>
      <c r="M866" s="1126"/>
      <c r="N866" s="1126"/>
      <c r="O866" s="1126"/>
      <c r="P866" s="1126"/>
      <c r="Q866" s="1126"/>
      <c r="R866" s="1126"/>
      <c r="S866" s="1126"/>
      <c r="T866" s="1126"/>
      <c r="U866" s="1126"/>
      <c r="V866" s="1126"/>
      <c r="W866" s="1126"/>
      <c r="X866" s="1126"/>
      <c r="Y866" s="1126"/>
      <c r="Z866" s="1126"/>
      <c r="AA866" s="1126"/>
    </row>
    <row r="867" ht="15.75" customHeight="1">
      <c r="A867" s="1126"/>
      <c r="B867" s="1126"/>
      <c r="C867" s="1126"/>
      <c r="D867" s="1126"/>
      <c r="E867" s="1126"/>
      <c r="F867" s="1126"/>
      <c r="G867" s="1126"/>
      <c r="H867" s="1126"/>
      <c r="I867" s="1126"/>
      <c r="J867" s="1126"/>
      <c r="K867" s="1126"/>
      <c r="L867" s="1126"/>
      <c r="M867" s="1126"/>
      <c r="N867" s="1126"/>
      <c r="O867" s="1126"/>
      <c r="P867" s="1126"/>
      <c r="Q867" s="1126"/>
      <c r="R867" s="1126"/>
      <c r="S867" s="1126"/>
      <c r="T867" s="1126"/>
      <c r="U867" s="1126"/>
      <c r="V867" s="1126"/>
      <c r="W867" s="1126"/>
      <c r="X867" s="1126"/>
      <c r="Y867" s="1126"/>
      <c r="Z867" s="1126"/>
      <c r="AA867" s="1126"/>
    </row>
    <row r="868" ht="15.75" customHeight="1">
      <c r="A868" s="1126"/>
      <c r="B868" s="1126"/>
      <c r="C868" s="1126"/>
      <c r="D868" s="1126"/>
      <c r="E868" s="1126"/>
      <c r="F868" s="1126"/>
      <c r="G868" s="1126"/>
      <c r="H868" s="1126"/>
      <c r="I868" s="1126"/>
      <c r="J868" s="1126"/>
      <c r="K868" s="1126"/>
      <c r="L868" s="1126"/>
      <c r="M868" s="1126"/>
      <c r="N868" s="1126"/>
      <c r="O868" s="1126"/>
      <c r="P868" s="1126"/>
      <c r="Q868" s="1126"/>
      <c r="R868" s="1126"/>
      <c r="S868" s="1126"/>
      <c r="T868" s="1126"/>
      <c r="U868" s="1126"/>
      <c r="V868" s="1126"/>
      <c r="W868" s="1126"/>
      <c r="X868" s="1126"/>
      <c r="Y868" s="1126"/>
      <c r="Z868" s="1126"/>
      <c r="AA868" s="1126"/>
    </row>
    <row r="869" ht="15.75" customHeight="1">
      <c r="A869" s="1126"/>
      <c r="B869" s="1126"/>
      <c r="C869" s="1126"/>
      <c r="D869" s="1126"/>
      <c r="E869" s="1126"/>
      <c r="F869" s="1126"/>
      <c r="G869" s="1126"/>
      <c r="H869" s="1126"/>
      <c r="I869" s="1126"/>
      <c r="J869" s="1126"/>
      <c r="K869" s="1126"/>
      <c r="L869" s="1126"/>
      <c r="M869" s="1126"/>
      <c r="N869" s="1126"/>
      <c r="O869" s="1126"/>
      <c r="P869" s="1126"/>
      <c r="Q869" s="1126"/>
      <c r="R869" s="1126"/>
      <c r="S869" s="1126"/>
      <c r="T869" s="1126"/>
      <c r="U869" s="1126"/>
      <c r="V869" s="1126"/>
      <c r="W869" s="1126"/>
      <c r="X869" s="1126"/>
      <c r="Y869" s="1126"/>
      <c r="Z869" s="1126"/>
      <c r="AA869" s="1126"/>
    </row>
    <row r="870" ht="15.75" customHeight="1">
      <c r="A870" s="1126"/>
      <c r="B870" s="1126"/>
      <c r="C870" s="1126"/>
      <c r="D870" s="1126"/>
      <c r="E870" s="1126"/>
      <c r="F870" s="1126"/>
      <c r="G870" s="1126"/>
      <c r="H870" s="1126"/>
      <c r="I870" s="1126"/>
      <c r="J870" s="1126"/>
      <c r="K870" s="1126"/>
      <c r="L870" s="1126"/>
      <c r="M870" s="1126"/>
      <c r="N870" s="1126"/>
      <c r="O870" s="1126"/>
      <c r="P870" s="1126"/>
      <c r="Q870" s="1126"/>
      <c r="R870" s="1126"/>
      <c r="S870" s="1126"/>
      <c r="T870" s="1126"/>
      <c r="U870" s="1126"/>
      <c r="V870" s="1126"/>
      <c r="W870" s="1126"/>
      <c r="X870" s="1126"/>
      <c r="Y870" s="1126"/>
      <c r="Z870" s="1126"/>
      <c r="AA870" s="1126"/>
    </row>
    <row r="871" ht="15.75" customHeight="1">
      <c r="A871" s="1126"/>
      <c r="B871" s="1126"/>
      <c r="C871" s="1126"/>
      <c r="D871" s="1126"/>
      <c r="E871" s="1126"/>
      <c r="F871" s="1126"/>
      <c r="G871" s="1126"/>
      <c r="H871" s="1126"/>
      <c r="I871" s="1126"/>
      <c r="J871" s="1126"/>
      <c r="K871" s="1126"/>
      <c r="L871" s="1126"/>
      <c r="M871" s="1126"/>
      <c r="N871" s="1126"/>
      <c r="O871" s="1126"/>
      <c r="P871" s="1126"/>
      <c r="Q871" s="1126"/>
      <c r="R871" s="1126"/>
      <c r="S871" s="1126"/>
      <c r="T871" s="1126"/>
      <c r="U871" s="1126"/>
      <c r="V871" s="1126"/>
      <c r="W871" s="1126"/>
      <c r="X871" s="1126"/>
      <c r="Y871" s="1126"/>
      <c r="Z871" s="1126"/>
      <c r="AA871" s="1126"/>
    </row>
    <row r="872" ht="15.75" customHeight="1">
      <c r="A872" s="1126"/>
      <c r="B872" s="1126"/>
      <c r="C872" s="1126"/>
      <c r="D872" s="1126"/>
      <c r="E872" s="1126"/>
      <c r="F872" s="1126"/>
      <c r="G872" s="1126"/>
      <c r="H872" s="1126"/>
      <c r="I872" s="1126"/>
      <c r="J872" s="1126"/>
      <c r="K872" s="1126"/>
      <c r="L872" s="1126"/>
      <c r="M872" s="1126"/>
      <c r="N872" s="1126"/>
      <c r="O872" s="1126"/>
      <c r="P872" s="1126"/>
      <c r="Q872" s="1126"/>
      <c r="R872" s="1126"/>
      <c r="S872" s="1126"/>
      <c r="T872" s="1126"/>
      <c r="U872" s="1126"/>
      <c r="V872" s="1126"/>
      <c r="W872" s="1126"/>
      <c r="X872" s="1126"/>
      <c r="Y872" s="1126"/>
      <c r="Z872" s="1126"/>
      <c r="AA872" s="1126"/>
    </row>
    <row r="873" ht="15.75" customHeight="1">
      <c r="A873" s="1126"/>
      <c r="B873" s="1126"/>
      <c r="C873" s="1126"/>
      <c r="D873" s="1126"/>
      <c r="E873" s="1126"/>
      <c r="F873" s="1126"/>
      <c r="G873" s="1126"/>
      <c r="H873" s="1126"/>
      <c r="I873" s="1126"/>
      <c r="J873" s="1126"/>
      <c r="K873" s="1126"/>
      <c r="L873" s="1126"/>
      <c r="M873" s="1126"/>
      <c r="N873" s="1126"/>
      <c r="O873" s="1126"/>
      <c r="P873" s="1126"/>
      <c r="Q873" s="1126"/>
      <c r="R873" s="1126"/>
      <c r="S873" s="1126"/>
      <c r="T873" s="1126"/>
      <c r="U873" s="1126"/>
      <c r="V873" s="1126"/>
      <c r="W873" s="1126"/>
      <c r="X873" s="1126"/>
      <c r="Y873" s="1126"/>
      <c r="Z873" s="1126"/>
      <c r="AA873" s="1126"/>
    </row>
    <row r="874" ht="15.75" customHeight="1">
      <c r="A874" s="1126"/>
      <c r="B874" s="1126"/>
      <c r="C874" s="1126"/>
      <c r="D874" s="1126"/>
      <c r="E874" s="1126"/>
      <c r="F874" s="1126"/>
      <c r="G874" s="1126"/>
      <c r="H874" s="1126"/>
      <c r="I874" s="1126"/>
      <c r="J874" s="1126"/>
      <c r="K874" s="1126"/>
      <c r="L874" s="1126"/>
      <c r="M874" s="1126"/>
      <c r="N874" s="1126"/>
      <c r="O874" s="1126"/>
      <c r="P874" s="1126"/>
      <c r="Q874" s="1126"/>
      <c r="R874" s="1126"/>
      <c r="S874" s="1126"/>
      <c r="T874" s="1126"/>
      <c r="U874" s="1126"/>
      <c r="V874" s="1126"/>
      <c r="W874" s="1126"/>
      <c r="X874" s="1126"/>
      <c r="Y874" s="1126"/>
      <c r="Z874" s="1126"/>
      <c r="AA874" s="1126"/>
    </row>
    <row r="875" ht="15.75" customHeight="1">
      <c r="A875" s="1126"/>
      <c r="B875" s="1126"/>
      <c r="C875" s="1126"/>
      <c r="D875" s="1126"/>
      <c r="E875" s="1126"/>
      <c r="F875" s="1126"/>
      <c r="G875" s="1126"/>
      <c r="H875" s="1126"/>
      <c r="I875" s="1126"/>
      <c r="J875" s="1126"/>
      <c r="K875" s="1126"/>
      <c r="L875" s="1126"/>
      <c r="M875" s="1126"/>
      <c r="N875" s="1126"/>
      <c r="O875" s="1126"/>
      <c r="P875" s="1126"/>
      <c r="Q875" s="1126"/>
      <c r="R875" s="1126"/>
      <c r="S875" s="1126"/>
      <c r="T875" s="1126"/>
      <c r="U875" s="1126"/>
      <c r="V875" s="1126"/>
      <c r="W875" s="1126"/>
      <c r="X875" s="1126"/>
      <c r="Y875" s="1126"/>
      <c r="Z875" s="1126"/>
      <c r="AA875" s="1126"/>
    </row>
    <row r="876" ht="15.75" customHeight="1">
      <c r="A876" s="1126"/>
      <c r="B876" s="1126"/>
      <c r="C876" s="1126"/>
      <c r="D876" s="1126"/>
      <c r="E876" s="1126"/>
      <c r="F876" s="1126"/>
      <c r="G876" s="1126"/>
      <c r="H876" s="1126"/>
      <c r="I876" s="1126"/>
      <c r="J876" s="1126"/>
      <c r="K876" s="1126"/>
      <c r="L876" s="1126"/>
      <c r="M876" s="1126"/>
      <c r="N876" s="1126"/>
      <c r="O876" s="1126"/>
      <c r="P876" s="1126"/>
      <c r="Q876" s="1126"/>
      <c r="R876" s="1126"/>
      <c r="S876" s="1126"/>
      <c r="T876" s="1126"/>
      <c r="U876" s="1126"/>
      <c r="V876" s="1126"/>
      <c r="W876" s="1126"/>
      <c r="X876" s="1126"/>
      <c r="Y876" s="1126"/>
      <c r="Z876" s="1126"/>
      <c r="AA876" s="1126"/>
    </row>
    <row r="877" ht="15.75" customHeight="1">
      <c r="A877" s="1126"/>
      <c r="B877" s="1126"/>
      <c r="C877" s="1126"/>
      <c r="D877" s="1126"/>
      <c r="E877" s="1126"/>
      <c r="F877" s="1126"/>
      <c r="G877" s="1126"/>
      <c r="H877" s="1126"/>
      <c r="I877" s="1126"/>
      <c r="J877" s="1126"/>
      <c r="K877" s="1126"/>
      <c r="L877" s="1126"/>
      <c r="M877" s="1126"/>
      <c r="N877" s="1126"/>
      <c r="O877" s="1126"/>
      <c r="P877" s="1126"/>
      <c r="Q877" s="1126"/>
      <c r="R877" s="1126"/>
      <c r="S877" s="1126"/>
      <c r="T877" s="1126"/>
      <c r="U877" s="1126"/>
      <c r="V877" s="1126"/>
      <c r="W877" s="1126"/>
      <c r="X877" s="1126"/>
      <c r="Y877" s="1126"/>
      <c r="Z877" s="1126"/>
      <c r="AA877" s="1126"/>
    </row>
    <row r="878" ht="15.75" customHeight="1">
      <c r="A878" s="1126"/>
      <c r="B878" s="1126"/>
      <c r="C878" s="1126"/>
      <c r="D878" s="1126"/>
      <c r="E878" s="1126"/>
      <c r="F878" s="1126"/>
      <c r="G878" s="1126"/>
      <c r="H878" s="1126"/>
      <c r="I878" s="1126"/>
      <c r="J878" s="1126"/>
      <c r="K878" s="1126"/>
      <c r="L878" s="1126"/>
      <c r="M878" s="1126"/>
      <c r="N878" s="1126"/>
      <c r="O878" s="1126"/>
      <c r="P878" s="1126"/>
      <c r="Q878" s="1126"/>
      <c r="R878" s="1126"/>
      <c r="S878" s="1126"/>
      <c r="T878" s="1126"/>
      <c r="U878" s="1126"/>
      <c r="V878" s="1126"/>
      <c r="W878" s="1126"/>
      <c r="X878" s="1126"/>
      <c r="Y878" s="1126"/>
      <c r="Z878" s="1126"/>
      <c r="AA878" s="1126"/>
    </row>
    <row r="879" ht="15.75" customHeight="1">
      <c r="A879" s="1126"/>
      <c r="B879" s="1126"/>
      <c r="C879" s="1126"/>
      <c r="D879" s="1126"/>
      <c r="E879" s="1126"/>
      <c r="F879" s="1126"/>
      <c r="G879" s="1126"/>
      <c r="H879" s="1126"/>
      <c r="I879" s="1126"/>
      <c r="J879" s="1126"/>
      <c r="K879" s="1126"/>
      <c r="L879" s="1126"/>
      <c r="M879" s="1126"/>
      <c r="N879" s="1126"/>
      <c r="O879" s="1126"/>
      <c r="P879" s="1126"/>
      <c r="Q879" s="1126"/>
      <c r="R879" s="1126"/>
      <c r="S879" s="1126"/>
      <c r="T879" s="1126"/>
      <c r="U879" s="1126"/>
      <c r="V879" s="1126"/>
      <c r="W879" s="1126"/>
      <c r="X879" s="1126"/>
      <c r="Y879" s="1126"/>
      <c r="Z879" s="1126"/>
      <c r="AA879" s="1126"/>
    </row>
    <row r="880" ht="15.75" customHeight="1">
      <c r="A880" s="1126"/>
      <c r="B880" s="1126"/>
      <c r="C880" s="1126"/>
      <c r="D880" s="1126"/>
      <c r="E880" s="1126"/>
      <c r="F880" s="1126"/>
      <c r="G880" s="1126"/>
      <c r="H880" s="1126"/>
      <c r="I880" s="1126"/>
      <c r="J880" s="1126"/>
      <c r="K880" s="1126"/>
      <c r="L880" s="1126"/>
      <c r="M880" s="1126"/>
      <c r="N880" s="1126"/>
      <c r="O880" s="1126"/>
      <c r="P880" s="1126"/>
      <c r="Q880" s="1126"/>
      <c r="R880" s="1126"/>
      <c r="S880" s="1126"/>
      <c r="T880" s="1126"/>
      <c r="U880" s="1126"/>
      <c r="V880" s="1126"/>
      <c r="W880" s="1126"/>
      <c r="X880" s="1126"/>
      <c r="Y880" s="1126"/>
      <c r="Z880" s="1126"/>
      <c r="AA880" s="1126"/>
    </row>
    <row r="881" ht="15.75" customHeight="1">
      <c r="A881" s="1126"/>
      <c r="B881" s="1126"/>
      <c r="C881" s="1126"/>
      <c r="D881" s="1126"/>
      <c r="E881" s="1126"/>
      <c r="F881" s="1126"/>
      <c r="G881" s="1126"/>
      <c r="H881" s="1126"/>
      <c r="I881" s="1126"/>
      <c r="J881" s="1126"/>
      <c r="K881" s="1126"/>
      <c r="L881" s="1126"/>
      <c r="M881" s="1126"/>
      <c r="N881" s="1126"/>
      <c r="O881" s="1126"/>
      <c r="P881" s="1126"/>
      <c r="Q881" s="1126"/>
      <c r="R881" s="1126"/>
      <c r="S881" s="1126"/>
      <c r="T881" s="1126"/>
      <c r="U881" s="1126"/>
      <c r="V881" s="1126"/>
      <c r="W881" s="1126"/>
      <c r="X881" s="1126"/>
      <c r="Y881" s="1126"/>
      <c r="Z881" s="1126"/>
      <c r="AA881" s="1126"/>
    </row>
    <row r="882" ht="15.75" customHeight="1">
      <c r="A882" s="1126"/>
      <c r="B882" s="1126"/>
      <c r="C882" s="1126"/>
      <c r="D882" s="1126"/>
      <c r="E882" s="1126"/>
      <c r="F882" s="1126"/>
      <c r="G882" s="1126"/>
      <c r="H882" s="1126"/>
      <c r="I882" s="1126"/>
      <c r="J882" s="1126"/>
      <c r="K882" s="1126"/>
      <c r="L882" s="1126"/>
      <c r="M882" s="1126"/>
      <c r="N882" s="1126"/>
      <c r="O882" s="1126"/>
      <c r="P882" s="1126"/>
      <c r="Q882" s="1126"/>
      <c r="R882" s="1126"/>
      <c r="S882" s="1126"/>
      <c r="T882" s="1126"/>
      <c r="U882" s="1126"/>
      <c r="V882" s="1126"/>
      <c r="W882" s="1126"/>
      <c r="X882" s="1126"/>
      <c r="Y882" s="1126"/>
      <c r="Z882" s="1126"/>
      <c r="AA882" s="1126"/>
    </row>
    <row r="883" ht="15.75" customHeight="1">
      <c r="A883" s="1126"/>
      <c r="B883" s="1126"/>
      <c r="C883" s="1126"/>
      <c r="D883" s="1126"/>
      <c r="E883" s="1126"/>
      <c r="F883" s="1126"/>
      <c r="G883" s="1126"/>
      <c r="H883" s="1126"/>
      <c r="I883" s="1126"/>
      <c r="J883" s="1126"/>
      <c r="K883" s="1126"/>
      <c r="L883" s="1126"/>
      <c r="M883" s="1126"/>
      <c r="N883" s="1126"/>
      <c r="O883" s="1126"/>
      <c r="P883" s="1126"/>
      <c r="Q883" s="1126"/>
      <c r="R883" s="1126"/>
      <c r="S883" s="1126"/>
      <c r="T883" s="1126"/>
      <c r="U883" s="1126"/>
      <c r="V883" s="1126"/>
      <c r="W883" s="1126"/>
      <c r="X883" s="1126"/>
      <c r="Y883" s="1126"/>
      <c r="Z883" s="1126"/>
      <c r="AA883" s="1126"/>
    </row>
    <row r="884" ht="15.75" customHeight="1">
      <c r="A884" s="1126"/>
      <c r="B884" s="1126"/>
      <c r="C884" s="1126"/>
      <c r="D884" s="1126"/>
      <c r="E884" s="1126"/>
      <c r="F884" s="1126"/>
      <c r="G884" s="1126"/>
      <c r="H884" s="1126"/>
      <c r="I884" s="1126"/>
      <c r="J884" s="1126"/>
      <c r="K884" s="1126"/>
      <c r="L884" s="1126"/>
      <c r="M884" s="1126"/>
      <c r="N884" s="1126"/>
      <c r="O884" s="1126"/>
      <c r="P884" s="1126"/>
      <c r="Q884" s="1126"/>
      <c r="R884" s="1126"/>
      <c r="S884" s="1126"/>
      <c r="T884" s="1126"/>
      <c r="U884" s="1126"/>
      <c r="V884" s="1126"/>
      <c r="W884" s="1126"/>
      <c r="X884" s="1126"/>
      <c r="Y884" s="1126"/>
      <c r="Z884" s="1126"/>
      <c r="AA884" s="1126"/>
    </row>
    <row r="885" ht="15.75" customHeight="1">
      <c r="A885" s="1126"/>
      <c r="B885" s="1126"/>
      <c r="C885" s="1126"/>
      <c r="D885" s="1126"/>
      <c r="E885" s="1126"/>
      <c r="F885" s="1126"/>
      <c r="G885" s="1126"/>
      <c r="H885" s="1126"/>
      <c r="I885" s="1126"/>
      <c r="J885" s="1126"/>
      <c r="K885" s="1126"/>
      <c r="L885" s="1126"/>
      <c r="M885" s="1126"/>
      <c r="N885" s="1126"/>
      <c r="O885" s="1126"/>
      <c r="P885" s="1126"/>
      <c r="Q885" s="1126"/>
      <c r="R885" s="1126"/>
      <c r="S885" s="1126"/>
      <c r="T885" s="1126"/>
      <c r="U885" s="1126"/>
      <c r="V885" s="1126"/>
      <c r="W885" s="1126"/>
      <c r="X885" s="1126"/>
      <c r="Y885" s="1126"/>
      <c r="Z885" s="1126"/>
      <c r="AA885" s="1126"/>
    </row>
    <row r="886" ht="15.75" customHeight="1">
      <c r="A886" s="1126"/>
      <c r="B886" s="1126"/>
      <c r="C886" s="1126"/>
      <c r="D886" s="1126"/>
      <c r="E886" s="1126"/>
      <c r="F886" s="1126"/>
      <c r="G886" s="1126"/>
      <c r="H886" s="1126"/>
      <c r="I886" s="1126"/>
      <c r="J886" s="1126"/>
      <c r="K886" s="1126"/>
      <c r="L886" s="1126"/>
      <c r="M886" s="1126"/>
      <c r="N886" s="1126"/>
      <c r="O886" s="1126"/>
      <c r="P886" s="1126"/>
      <c r="Q886" s="1126"/>
      <c r="R886" s="1126"/>
      <c r="S886" s="1126"/>
      <c r="T886" s="1126"/>
      <c r="U886" s="1126"/>
      <c r="V886" s="1126"/>
      <c r="W886" s="1126"/>
      <c r="X886" s="1126"/>
      <c r="Y886" s="1126"/>
      <c r="Z886" s="1126"/>
      <c r="AA886" s="1126"/>
    </row>
    <row r="887" ht="15.75" customHeight="1">
      <c r="A887" s="1126"/>
      <c r="B887" s="1126"/>
      <c r="C887" s="1126"/>
      <c r="D887" s="1126"/>
      <c r="E887" s="1126"/>
      <c r="F887" s="1126"/>
      <c r="G887" s="1126"/>
      <c r="H887" s="1126"/>
      <c r="I887" s="1126"/>
      <c r="J887" s="1126"/>
      <c r="K887" s="1126"/>
      <c r="L887" s="1126"/>
      <c r="M887" s="1126"/>
      <c r="N887" s="1126"/>
      <c r="O887" s="1126"/>
      <c r="P887" s="1126"/>
      <c r="Q887" s="1126"/>
      <c r="R887" s="1126"/>
      <c r="S887" s="1126"/>
      <c r="T887" s="1126"/>
      <c r="U887" s="1126"/>
      <c r="V887" s="1126"/>
      <c r="W887" s="1126"/>
      <c r="X887" s="1126"/>
      <c r="Y887" s="1126"/>
      <c r="Z887" s="1126"/>
      <c r="AA887" s="1126"/>
    </row>
    <row r="888" ht="15.75" customHeight="1">
      <c r="A888" s="1126"/>
      <c r="B888" s="1126"/>
      <c r="C888" s="1126"/>
      <c r="D888" s="1126"/>
      <c r="E888" s="1126"/>
      <c r="F888" s="1126"/>
      <c r="G888" s="1126"/>
      <c r="H888" s="1126"/>
      <c r="I888" s="1126"/>
      <c r="J888" s="1126"/>
      <c r="K888" s="1126"/>
      <c r="L888" s="1126"/>
      <c r="M888" s="1126"/>
      <c r="N888" s="1126"/>
      <c r="O888" s="1126"/>
      <c r="P888" s="1126"/>
      <c r="Q888" s="1126"/>
      <c r="R888" s="1126"/>
      <c r="S888" s="1126"/>
      <c r="T888" s="1126"/>
      <c r="U888" s="1126"/>
      <c r="V888" s="1126"/>
      <c r="W888" s="1126"/>
      <c r="X888" s="1126"/>
      <c r="Y888" s="1126"/>
      <c r="Z888" s="1126"/>
      <c r="AA888" s="1126"/>
    </row>
    <row r="889" ht="15.75" customHeight="1">
      <c r="A889" s="1126"/>
      <c r="B889" s="1126"/>
      <c r="C889" s="1126"/>
      <c r="D889" s="1126"/>
      <c r="E889" s="1126"/>
      <c r="F889" s="1126"/>
      <c r="G889" s="1126"/>
      <c r="H889" s="1126"/>
      <c r="I889" s="1126"/>
      <c r="J889" s="1126"/>
      <c r="K889" s="1126"/>
      <c r="L889" s="1126"/>
      <c r="M889" s="1126"/>
      <c r="N889" s="1126"/>
      <c r="O889" s="1126"/>
      <c r="P889" s="1126"/>
      <c r="Q889" s="1126"/>
      <c r="R889" s="1126"/>
      <c r="S889" s="1126"/>
      <c r="T889" s="1126"/>
      <c r="U889" s="1126"/>
      <c r="V889" s="1126"/>
      <c r="W889" s="1126"/>
      <c r="X889" s="1126"/>
      <c r="Y889" s="1126"/>
      <c r="Z889" s="1126"/>
      <c r="AA889" s="1126"/>
    </row>
    <row r="890" ht="15.75" customHeight="1">
      <c r="A890" s="1126"/>
      <c r="B890" s="1126"/>
      <c r="C890" s="1126"/>
      <c r="D890" s="1126"/>
      <c r="E890" s="1126"/>
      <c r="F890" s="1126"/>
      <c r="G890" s="1126"/>
      <c r="H890" s="1126"/>
      <c r="I890" s="1126"/>
      <c r="J890" s="1126"/>
      <c r="K890" s="1126"/>
      <c r="L890" s="1126"/>
      <c r="M890" s="1126"/>
      <c r="N890" s="1126"/>
      <c r="O890" s="1126"/>
      <c r="P890" s="1126"/>
      <c r="Q890" s="1126"/>
      <c r="R890" s="1126"/>
      <c r="S890" s="1126"/>
      <c r="T890" s="1126"/>
      <c r="U890" s="1126"/>
      <c r="V890" s="1126"/>
      <c r="W890" s="1126"/>
      <c r="X890" s="1126"/>
      <c r="Y890" s="1126"/>
      <c r="Z890" s="1126"/>
      <c r="AA890" s="1126"/>
    </row>
    <row r="891" ht="15.75" customHeight="1">
      <c r="A891" s="1126"/>
      <c r="B891" s="1126"/>
      <c r="C891" s="1126"/>
      <c r="D891" s="1126"/>
      <c r="E891" s="1126"/>
      <c r="F891" s="1126"/>
      <c r="G891" s="1126"/>
      <c r="H891" s="1126"/>
      <c r="I891" s="1126"/>
      <c r="J891" s="1126"/>
      <c r="K891" s="1126"/>
      <c r="L891" s="1126"/>
      <c r="M891" s="1126"/>
      <c r="N891" s="1126"/>
      <c r="O891" s="1126"/>
      <c r="P891" s="1126"/>
      <c r="Q891" s="1126"/>
      <c r="R891" s="1126"/>
      <c r="S891" s="1126"/>
      <c r="T891" s="1126"/>
      <c r="U891" s="1126"/>
      <c r="V891" s="1126"/>
      <c r="W891" s="1126"/>
      <c r="X891" s="1126"/>
      <c r="Y891" s="1126"/>
      <c r="Z891" s="1126"/>
      <c r="AA891" s="1126"/>
    </row>
    <row r="892" ht="15.75" customHeight="1">
      <c r="A892" s="1126"/>
      <c r="B892" s="1126"/>
      <c r="C892" s="1126"/>
      <c r="D892" s="1126"/>
      <c r="E892" s="1126"/>
      <c r="F892" s="1126"/>
      <c r="G892" s="1126"/>
      <c r="H892" s="1126"/>
      <c r="I892" s="1126"/>
      <c r="J892" s="1126"/>
      <c r="K892" s="1126"/>
      <c r="L892" s="1126"/>
      <c r="M892" s="1126"/>
      <c r="N892" s="1126"/>
      <c r="O892" s="1126"/>
      <c r="P892" s="1126"/>
      <c r="Q892" s="1126"/>
      <c r="R892" s="1126"/>
      <c r="S892" s="1126"/>
      <c r="T892" s="1126"/>
      <c r="U892" s="1126"/>
      <c r="V892" s="1126"/>
      <c r="W892" s="1126"/>
      <c r="X892" s="1126"/>
      <c r="Y892" s="1126"/>
      <c r="Z892" s="1126"/>
      <c r="AA892" s="1126"/>
    </row>
    <row r="893" ht="15.75" customHeight="1">
      <c r="A893" s="1126"/>
      <c r="B893" s="1126"/>
      <c r="C893" s="1126"/>
      <c r="D893" s="1126"/>
      <c r="E893" s="1126"/>
      <c r="F893" s="1126"/>
      <c r="G893" s="1126"/>
      <c r="H893" s="1126"/>
      <c r="I893" s="1126"/>
      <c r="J893" s="1126"/>
      <c r="K893" s="1126"/>
      <c r="L893" s="1126"/>
      <c r="M893" s="1126"/>
      <c r="N893" s="1126"/>
      <c r="O893" s="1126"/>
      <c r="P893" s="1126"/>
      <c r="Q893" s="1126"/>
      <c r="R893" s="1126"/>
      <c r="S893" s="1126"/>
      <c r="T893" s="1126"/>
      <c r="U893" s="1126"/>
      <c r="V893" s="1126"/>
      <c r="W893" s="1126"/>
      <c r="X893" s="1126"/>
      <c r="Y893" s="1126"/>
      <c r="Z893" s="1126"/>
      <c r="AA893" s="1126"/>
    </row>
    <row r="894" ht="15.75" customHeight="1">
      <c r="A894" s="1126"/>
      <c r="B894" s="1126"/>
      <c r="C894" s="1126"/>
      <c r="D894" s="1126"/>
      <c r="E894" s="1126"/>
      <c r="F894" s="1126"/>
      <c r="G894" s="1126"/>
      <c r="H894" s="1126"/>
      <c r="I894" s="1126"/>
      <c r="J894" s="1126"/>
      <c r="K894" s="1126"/>
      <c r="L894" s="1126"/>
      <c r="M894" s="1126"/>
      <c r="N894" s="1126"/>
      <c r="O894" s="1126"/>
      <c r="P894" s="1126"/>
      <c r="Q894" s="1126"/>
      <c r="R894" s="1126"/>
      <c r="S894" s="1126"/>
      <c r="T894" s="1126"/>
      <c r="U894" s="1126"/>
      <c r="V894" s="1126"/>
      <c r="W894" s="1126"/>
      <c r="X894" s="1126"/>
      <c r="Y894" s="1126"/>
      <c r="Z894" s="1126"/>
      <c r="AA894" s="1126"/>
    </row>
    <row r="895" ht="15.75" customHeight="1">
      <c r="A895" s="1126"/>
      <c r="B895" s="1126"/>
      <c r="C895" s="1126"/>
      <c r="D895" s="1126"/>
      <c r="E895" s="1126"/>
      <c r="F895" s="1126"/>
      <c r="G895" s="1126"/>
      <c r="H895" s="1126"/>
      <c r="I895" s="1126"/>
      <c r="J895" s="1126"/>
      <c r="K895" s="1126"/>
      <c r="L895" s="1126"/>
      <c r="M895" s="1126"/>
      <c r="N895" s="1126"/>
      <c r="O895" s="1126"/>
      <c r="P895" s="1126"/>
      <c r="Q895" s="1126"/>
      <c r="R895" s="1126"/>
      <c r="S895" s="1126"/>
      <c r="T895" s="1126"/>
      <c r="U895" s="1126"/>
      <c r="V895" s="1126"/>
      <c r="W895" s="1126"/>
      <c r="X895" s="1126"/>
      <c r="Y895" s="1126"/>
      <c r="Z895" s="1126"/>
      <c r="AA895" s="1126"/>
    </row>
    <row r="896" ht="15.75" customHeight="1">
      <c r="A896" s="1126"/>
      <c r="B896" s="1126"/>
      <c r="C896" s="1126"/>
      <c r="D896" s="1126"/>
      <c r="E896" s="1126"/>
      <c r="F896" s="1126"/>
      <c r="G896" s="1126"/>
      <c r="H896" s="1126"/>
      <c r="I896" s="1126"/>
      <c r="J896" s="1126"/>
      <c r="K896" s="1126"/>
      <c r="L896" s="1126"/>
      <c r="M896" s="1126"/>
      <c r="N896" s="1126"/>
      <c r="O896" s="1126"/>
      <c r="P896" s="1126"/>
      <c r="Q896" s="1126"/>
      <c r="R896" s="1126"/>
      <c r="S896" s="1126"/>
      <c r="T896" s="1126"/>
      <c r="U896" s="1126"/>
      <c r="V896" s="1126"/>
      <c r="W896" s="1126"/>
      <c r="X896" s="1126"/>
      <c r="Y896" s="1126"/>
      <c r="Z896" s="1126"/>
      <c r="AA896" s="1126"/>
    </row>
    <row r="897" ht="15.75" customHeight="1">
      <c r="A897" s="1126"/>
      <c r="B897" s="1126"/>
      <c r="C897" s="1126"/>
      <c r="D897" s="1126"/>
      <c r="E897" s="1126"/>
      <c r="F897" s="1126"/>
      <c r="G897" s="1126"/>
      <c r="H897" s="1126"/>
      <c r="I897" s="1126"/>
      <c r="J897" s="1126"/>
      <c r="K897" s="1126"/>
      <c r="L897" s="1126"/>
      <c r="M897" s="1126"/>
      <c r="N897" s="1126"/>
      <c r="O897" s="1126"/>
      <c r="P897" s="1126"/>
      <c r="Q897" s="1126"/>
      <c r="R897" s="1126"/>
      <c r="S897" s="1126"/>
      <c r="T897" s="1126"/>
      <c r="U897" s="1126"/>
      <c r="V897" s="1126"/>
      <c r="W897" s="1126"/>
      <c r="X897" s="1126"/>
      <c r="Y897" s="1126"/>
      <c r="Z897" s="1126"/>
      <c r="AA897" s="1126"/>
    </row>
    <row r="898" ht="15.75" customHeight="1">
      <c r="A898" s="1126"/>
      <c r="B898" s="1126"/>
      <c r="C898" s="1126"/>
      <c r="D898" s="1126"/>
      <c r="E898" s="1126"/>
      <c r="F898" s="1126"/>
      <c r="G898" s="1126"/>
      <c r="H898" s="1126"/>
      <c r="I898" s="1126"/>
      <c r="J898" s="1126"/>
      <c r="K898" s="1126"/>
      <c r="L898" s="1126"/>
      <c r="M898" s="1126"/>
      <c r="N898" s="1126"/>
      <c r="O898" s="1126"/>
      <c r="P898" s="1126"/>
      <c r="Q898" s="1126"/>
      <c r="R898" s="1126"/>
      <c r="S898" s="1126"/>
      <c r="T898" s="1126"/>
      <c r="U898" s="1126"/>
      <c r="V898" s="1126"/>
      <c r="W898" s="1126"/>
      <c r="X898" s="1126"/>
      <c r="Y898" s="1126"/>
      <c r="Z898" s="1126"/>
      <c r="AA898" s="1126"/>
    </row>
    <row r="899" ht="15.75" customHeight="1">
      <c r="A899" s="1126"/>
      <c r="B899" s="1126"/>
      <c r="C899" s="1126"/>
      <c r="D899" s="1126"/>
      <c r="E899" s="1126"/>
      <c r="F899" s="1126"/>
      <c r="G899" s="1126"/>
      <c r="H899" s="1126"/>
      <c r="I899" s="1126"/>
      <c r="J899" s="1126"/>
      <c r="K899" s="1126"/>
      <c r="L899" s="1126"/>
      <c r="M899" s="1126"/>
      <c r="N899" s="1126"/>
      <c r="O899" s="1126"/>
      <c r="P899" s="1126"/>
      <c r="Q899" s="1126"/>
      <c r="R899" s="1126"/>
      <c r="S899" s="1126"/>
      <c r="T899" s="1126"/>
      <c r="U899" s="1126"/>
      <c r="V899" s="1126"/>
      <c r="W899" s="1126"/>
      <c r="X899" s="1126"/>
      <c r="Y899" s="1126"/>
      <c r="Z899" s="1126"/>
      <c r="AA899" s="1126"/>
    </row>
    <row r="900" ht="15.75" customHeight="1">
      <c r="A900" s="1126"/>
      <c r="B900" s="1126"/>
      <c r="C900" s="1126"/>
      <c r="D900" s="1126"/>
      <c r="E900" s="1126"/>
      <c r="F900" s="1126"/>
      <c r="G900" s="1126"/>
      <c r="H900" s="1126"/>
      <c r="I900" s="1126"/>
      <c r="J900" s="1126"/>
      <c r="K900" s="1126"/>
      <c r="L900" s="1126"/>
      <c r="M900" s="1126"/>
      <c r="N900" s="1126"/>
      <c r="O900" s="1126"/>
      <c r="P900" s="1126"/>
      <c r="Q900" s="1126"/>
      <c r="R900" s="1126"/>
      <c r="S900" s="1126"/>
      <c r="T900" s="1126"/>
      <c r="U900" s="1126"/>
      <c r="V900" s="1126"/>
      <c r="W900" s="1126"/>
      <c r="X900" s="1126"/>
      <c r="Y900" s="1126"/>
      <c r="Z900" s="1126"/>
      <c r="AA900" s="1126"/>
    </row>
    <row r="901" ht="15.75" customHeight="1">
      <c r="A901" s="1126"/>
      <c r="B901" s="1126"/>
      <c r="C901" s="1126"/>
      <c r="D901" s="1126"/>
      <c r="E901" s="1126"/>
      <c r="F901" s="1126"/>
      <c r="G901" s="1126"/>
      <c r="H901" s="1126"/>
      <c r="I901" s="1126"/>
      <c r="J901" s="1126"/>
      <c r="K901" s="1126"/>
      <c r="L901" s="1126"/>
      <c r="M901" s="1126"/>
      <c r="N901" s="1126"/>
      <c r="O901" s="1126"/>
      <c r="P901" s="1126"/>
      <c r="Q901" s="1126"/>
      <c r="R901" s="1126"/>
      <c r="S901" s="1126"/>
      <c r="T901" s="1126"/>
      <c r="U901" s="1126"/>
      <c r="V901" s="1126"/>
      <c r="W901" s="1126"/>
      <c r="X901" s="1126"/>
      <c r="Y901" s="1126"/>
      <c r="Z901" s="1126"/>
      <c r="AA901" s="1126"/>
    </row>
    <row r="902" ht="15.75" customHeight="1">
      <c r="A902" s="1126"/>
      <c r="B902" s="1126"/>
      <c r="C902" s="1126"/>
      <c r="D902" s="1126"/>
      <c r="E902" s="1126"/>
      <c r="F902" s="1126"/>
      <c r="G902" s="1126"/>
      <c r="H902" s="1126"/>
      <c r="I902" s="1126"/>
      <c r="J902" s="1126"/>
      <c r="K902" s="1126"/>
      <c r="L902" s="1126"/>
      <c r="M902" s="1126"/>
      <c r="N902" s="1126"/>
      <c r="O902" s="1126"/>
      <c r="P902" s="1126"/>
      <c r="Q902" s="1126"/>
      <c r="R902" s="1126"/>
      <c r="S902" s="1126"/>
      <c r="T902" s="1126"/>
      <c r="U902" s="1126"/>
      <c r="V902" s="1126"/>
      <c r="W902" s="1126"/>
      <c r="X902" s="1126"/>
      <c r="Y902" s="1126"/>
      <c r="Z902" s="1126"/>
      <c r="AA902" s="1126"/>
    </row>
    <row r="903" ht="15.75" customHeight="1">
      <c r="A903" s="1126"/>
      <c r="B903" s="1126"/>
      <c r="C903" s="1126"/>
      <c r="D903" s="1126"/>
      <c r="E903" s="1126"/>
      <c r="F903" s="1126"/>
      <c r="G903" s="1126"/>
      <c r="H903" s="1126"/>
      <c r="I903" s="1126"/>
      <c r="J903" s="1126"/>
      <c r="K903" s="1126"/>
      <c r="L903" s="1126"/>
      <c r="M903" s="1126"/>
      <c r="N903" s="1126"/>
      <c r="O903" s="1126"/>
      <c r="P903" s="1126"/>
      <c r="Q903" s="1126"/>
      <c r="R903" s="1126"/>
      <c r="S903" s="1126"/>
      <c r="T903" s="1126"/>
      <c r="U903" s="1126"/>
      <c r="V903" s="1126"/>
      <c r="W903" s="1126"/>
      <c r="X903" s="1126"/>
      <c r="Y903" s="1126"/>
      <c r="Z903" s="1126"/>
      <c r="AA903" s="1126"/>
    </row>
    <row r="904" ht="15.75" customHeight="1">
      <c r="A904" s="1126"/>
      <c r="B904" s="1126"/>
      <c r="C904" s="1126"/>
      <c r="D904" s="1126"/>
      <c r="E904" s="1126"/>
      <c r="F904" s="1126"/>
      <c r="G904" s="1126"/>
      <c r="H904" s="1126"/>
      <c r="I904" s="1126"/>
      <c r="J904" s="1126"/>
      <c r="K904" s="1126"/>
      <c r="L904" s="1126"/>
      <c r="M904" s="1126"/>
      <c r="N904" s="1126"/>
      <c r="O904" s="1126"/>
      <c r="P904" s="1126"/>
      <c r="Q904" s="1126"/>
      <c r="R904" s="1126"/>
      <c r="S904" s="1126"/>
      <c r="T904" s="1126"/>
      <c r="U904" s="1126"/>
      <c r="V904" s="1126"/>
      <c r="W904" s="1126"/>
      <c r="X904" s="1126"/>
      <c r="Y904" s="1126"/>
      <c r="Z904" s="1126"/>
      <c r="AA904" s="1126"/>
    </row>
    <row r="905" ht="15.75" customHeight="1">
      <c r="A905" s="1126"/>
      <c r="B905" s="1126"/>
      <c r="C905" s="1126"/>
      <c r="D905" s="1126"/>
      <c r="E905" s="1126"/>
      <c r="F905" s="1126"/>
      <c r="G905" s="1126"/>
      <c r="H905" s="1126"/>
      <c r="I905" s="1126"/>
      <c r="J905" s="1126"/>
      <c r="K905" s="1126"/>
      <c r="L905" s="1126"/>
      <c r="M905" s="1126"/>
      <c r="N905" s="1126"/>
      <c r="O905" s="1126"/>
      <c r="P905" s="1126"/>
      <c r="Q905" s="1126"/>
      <c r="R905" s="1126"/>
      <c r="S905" s="1126"/>
      <c r="T905" s="1126"/>
      <c r="U905" s="1126"/>
      <c r="V905" s="1126"/>
      <c r="W905" s="1126"/>
      <c r="X905" s="1126"/>
      <c r="Y905" s="1126"/>
      <c r="Z905" s="1126"/>
      <c r="AA905" s="1126"/>
    </row>
    <row r="906" ht="15.75" customHeight="1">
      <c r="A906" s="1126"/>
      <c r="B906" s="1126"/>
      <c r="C906" s="1126"/>
      <c r="D906" s="1126"/>
      <c r="E906" s="1126"/>
      <c r="F906" s="1126"/>
      <c r="G906" s="1126"/>
      <c r="H906" s="1126"/>
      <c r="I906" s="1126"/>
      <c r="J906" s="1126"/>
      <c r="K906" s="1126"/>
      <c r="L906" s="1126"/>
      <c r="M906" s="1126"/>
      <c r="N906" s="1126"/>
      <c r="O906" s="1126"/>
      <c r="P906" s="1126"/>
      <c r="Q906" s="1126"/>
      <c r="R906" s="1126"/>
      <c r="S906" s="1126"/>
      <c r="T906" s="1126"/>
      <c r="U906" s="1126"/>
      <c r="V906" s="1126"/>
      <c r="W906" s="1126"/>
      <c r="X906" s="1126"/>
      <c r="Y906" s="1126"/>
      <c r="Z906" s="1126"/>
      <c r="AA906" s="1126"/>
    </row>
    <row r="907" ht="15.75" customHeight="1">
      <c r="A907" s="1126"/>
      <c r="B907" s="1126"/>
      <c r="C907" s="1126"/>
      <c r="D907" s="1126"/>
      <c r="E907" s="1126"/>
      <c r="F907" s="1126"/>
      <c r="G907" s="1126"/>
      <c r="H907" s="1126"/>
      <c r="I907" s="1126"/>
      <c r="J907" s="1126"/>
      <c r="K907" s="1126"/>
      <c r="L907" s="1126"/>
      <c r="M907" s="1126"/>
      <c r="N907" s="1126"/>
      <c r="O907" s="1126"/>
      <c r="P907" s="1126"/>
      <c r="Q907" s="1126"/>
      <c r="R907" s="1126"/>
      <c r="S907" s="1126"/>
      <c r="T907" s="1126"/>
      <c r="U907" s="1126"/>
      <c r="V907" s="1126"/>
      <c r="W907" s="1126"/>
      <c r="X907" s="1126"/>
      <c r="Y907" s="1126"/>
      <c r="Z907" s="1126"/>
      <c r="AA907" s="1126"/>
    </row>
    <row r="908" ht="15.75" customHeight="1">
      <c r="A908" s="1126"/>
      <c r="B908" s="1126"/>
      <c r="C908" s="1126"/>
      <c r="D908" s="1126"/>
      <c r="E908" s="1126"/>
      <c r="F908" s="1126"/>
      <c r="G908" s="1126"/>
      <c r="H908" s="1126"/>
      <c r="I908" s="1126"/>
      <c r="J908" s="1126"/>
      <c r="K908" s="1126"/>
      <c r="L908" s="1126"/>
      <c r="M908" s="1126"/>
      <c r="N908" s="1126"/>
      <c r="O908" s="1126"/>
      <c r="P908" s="1126"/>
      <c r="Q908" s="1126"/>
      <c r="R908" s="1126"/>
      <c r="S908" s="1126"/>
      <c r="T908" s="1126"/>
      <c r="U908" s="1126"/>
      <c r="V908" s="1126"/>
      <c r="W908" s="1126"/>
      <c r="X908" s="1126"/>
      <c r="Y908" s="1126"/>
      <c r="Z908" s="1126"/>
      <c r="AA908" s="1126"/>
    </row>
    <row r="909" ht="15.75" customHeight="1">
      <c r="A909" s="1126"/>
      <c r="B909" s="1126"/>
      <c r="C909" s="1126"/>
      <c r="D909" s="1126"/>
      <c r="E909" s="1126"/>
      <c r="F909" s="1126"/>
      <c r="G909" s="1126"/>
      <c r="H909" s="1126"/>
      <c r="I909" s="1126"/>
      <c r="J909" s="1126"/>
      <c r="K909" s="1126"/>
      <c r="L909" s="1126"/>
      <c r="M909" s="1126"/>
      <c r="N909" s="1126"/>
      <c r="O909" s="1126"/>
      <c r="P909" s="1126"/>
      <c r="Q909" s="1126"/>
      <c r="R909" s="1126"/>
      <c r="S909" s="1126"/>
      <c r="T909" s="1126"/>
      <c r="U909" s="1126"/>
      <c r="V909" s="1126"/>
      <c r="W909" s="1126"/>
      <c r="X909" s="1126"/>
      <c r="Y909" s="1126"/>
      <c r="Z909" s="1126"/>
      <c r="AA909" s="1126"/>
    </row>
    <row r="910" ht="15.75" customHeight="1">
      <c r="A910" s="1126"/>
      <c r="B910" s="1126"/>
      <c r="C910" s="1126"/>
      <c r="D910" s="1126"/>
      <c r="E910" s="1126"/>
      <c r="F910" s="1126"/>
      <c r="G910" s="1126"/>
      <c r="H910" s="1126"/>
      <c r="I910" s="1126"/>
      <c r="J910" s="1126"/>
      <c r="K910" s="1126"/>
      <c r="L910" s="1126"/>
      <c r="M910" s="1126"/>
      <c r="N910" s="1126"/>
      <c r="O910" s="1126"/>
      <c r="P910" s="1126"/>
      <c r="Q910" s="1126"/>
      <c r="R910" s="1126"/>
      <c r="S910" s="1126"/>
      <c r="T910" s="1126"/>
      <c r="U910" s="1126"/>
      <c r="V910" s="1126"/>
      <c r="W910" s="1126"/>
      <c r="X910" s="1126"/>
      <c r="Y910" s="1126"/>
      <c r="Z910" s="1126"/>
      <c r="AA910" s="1126"/>
    </row>
    <row r="911" ht="15.75" customHeight="1">
      <c r="A911" s="1126"/>
      <c r="B911" s="1126"/>
      <c r="C911" s="1126"/>
      <c r="D911" s="1126"/>
      <c r="E911" s="1126"/>
      <c r="F911" s="1126"/>
      <c r="G911" s="1126"/>
      <c r="H911" s="1126"/>
      <c r="I911" s="1126"/>
      <c r="J911" s="1126"/>
      <c r="K911" s="1126"/>
      <c r="L911" s="1126"/>
      <c r="M911" s="1126"/>
      <c r="N911" s="1126"/>
      <c r="O911" s="1126"/>
      <c r="P911" s="1126"/>
      <c r="Q911" s="1126"/>
      <c r="R911" s="1126"/>
      <c r="S911" s="1126"/>
      <c r="T911" s="1126"/>
      <c r="U911" s="1126"/>
      <c r="V911" s="1126"/>
      <c r="W911" s="1126"/>
      <c r="X911" s="1126"/>
      <c r="Y911" s="1126"/>
      <c r="Z911" s="1126"/>
      <c r="AA911" s="1126"/>
    </row>
    <row r="912" ht="15.75" customHeight="1">
      <c r="A912" s="1126"/>
      <c r="B912" s="1126"/>
      <c r="C912" s="1126"/>
      <c r="D912" s="1126"/>
      <c r="E912" s="1126"/>
      <c r="F912" s="1126"/>
      <c r="G912" s="1126"/>
      <c r="H912" s="1126"/>
      <c r="I912" s="1126"/>
      <c r="J912" s="1126"/>
      <c r="K912" s="1126"/>
      <c r="L912" s="1126"/>
      <c r="M912" s="1126"/>
      <c r="N912" s="1126"/>
      <c r="O912" s="1126"/>
      <c r="P912" s="1126"/>
      <c r="Q912" s="1126"/>
      <c r="R912" s="1126"/>
      <c r="S912" s="1126"/>
      <c r="T912" s="1126"/>
      <c r="U912" s="1126"/>
      <c r="V912" s="1126"/>
      <c r="W912" s="1126"/>
      <c r="X912" s="1126"/>
      <c r="Y912" s="1126"/>
      <c r="Z912" s="1126"/>
      <c r="AA912" s="1126"/>
    </row>
    <row r="913" ht="15.75" customHeight="1">
      <c r="A913" s="1126"/>
      <c r="B913" s="1126"/>
      <c r="C913" s="1126"/>
      <c r="D913" s="1126"/>
      <c r="E913" s="1126"/>
      <c r="F913" s="1126"/>
      <c r="G913" s="1126"/>
      <c r="H913" s="1126"/>
      <c r="I913" s="1126"/>
      <c r="J913" s="1126"/>
      <c r="K913" s="1126"/>
      <c r="L913" s="1126"/>
      <c r="M913" s="1126"/>
      <c r="N913" s="1126"/>
      <c r="O913" s="1126"/>
      <c r="P913" s="1126"/>
      <c r="Q913" s="1126"/>
      <c r="R913" s="1126"/>
      <c r="S913" s="1126"/>
      <c r="T913" s="1126"/>
      <c r="U913" s="1126"/>
      <c r="V913" s="1126"/>
      <c r="W913" s="1126"/>
      <c r="X913" s="1126"/>
      <c r="Y913" s="1126"/>
      <c r="Z913" s="1126"/>
      <c r="AA913" s="1126"/>
    </row>
    <row r="914" ht="15.75" customHeight="1">
      <c r="A914" s="1126"/>
      <c r="B914" s="1126"/>
      <c r="C914" s="1126"/>
      <c r="D914" s="1126"/>
      <c r="E914" s="1126"/>
      <c r="F914" s="1126"/>
      <c r="G914" s="1126"/>
      <c r="H914" s="1126"/>
      <c r="I914" s="1126"/>
      <c r="J914" s="1126"/>
      <c r="K914" s="1126"/>
      <c r="L914" s="1126"/>
      <c r="M914" s="1126"/>
      <c r="N914" s="1126"/>
      <c r="O914" s="1126"/>
      <c r="P914" s="1126"/>
      <c r="Q914" s="1126"/>
      <c r="R914" s="1126"/>
      <c r="S914" s="1126"/>
      <c r="T914" s="1126"/>
      <c r="U914" s="1126"/>
      <c r="V914" s="1126"/>
      <c r="W914" s="1126"/>
      <c r="X914" s="1126"/>
      <c r="Y914" s="1126"/>
      <c r="Z914" s="1126"/>
      <c r="AA914" s="1126"/>
    </row>
    <row r="915" ht="15.75" customHeight="1">
      <c r="A915" s="1126"/>
      <c r="B915" s="1126"/>
      <c r="C915" s="1126"/>
      <c r="D915" s="1126"/>
      <c r="E915" s="1126"/>
      <c r="F915" s="1126"/>
      <c r="G915" s="1126"/>
      <c r="H915" s="1126"/>
      <c r="I915" s="1126"/>
      <c r="J915" s="1126"/>
      <c r="K915" s="1126"/>
      <c r="L915" s="1126"/>
      <c r="M915" s="1126"/>
      <c r="N915" s="1126"/>
      <c r="O915" s="1126"/>
      <c r="P915" s="1126"/>
      <c r="Q915" s="1126"/>
      <c r="R915" s="1126"/>
      <c r="S915" s="1126"/>
      <c r="T915" s="1126"/>
      <c r="U915" s="1126"/>
      <c r="V915" s="1126"/>
      <c r="W915" s="1126"/>
      <c r="X915" s="1126"/>
      <c r="Y915" s="1126"/>
      <c r="Z915" s="1126"/>
      <c r="AA915" s="1126"/>
    </row>
    <row r="916" ht="15.75" customHeight="1">
      <c r="A916" s="1126"/>
      <c r="B916" s="1126"/>
      <c r="C916" s="1126"/>
      <c r="D916" s="1126"/>
      <c r="E916" s="1126"/>
      <c r="F916" s="1126"/>
      <c r="G916" s="1126"/>
      <c r="H916" s="1126"/>
      <c r="I916" s="1126"/>
      <c r="J916" s="1126"/>
      <c r="K916" s="1126"/>
      <c r="L916" s="1126"/>
      <c r="M916" s="1126"/>
      <c r="N916" s="1126"/>
      <c r="O916" s="1126"/>
      <c r="P916" s="1126"/>
      <c r="Q916" s="1126"/>
      <c r="R916" s="1126"/>
      <c r="S916" s="1126"/>
      <c r="T916" s="1126"/>
      <c r="U916" s="1126"/>
      <c r="V916" s="1126"/>
      <c r="W916" s="1126"/>
      <c r="X916" s="1126"/>
      <c r="Y916" s="1126"/>
      <c r="Z916" s="1126"/>
      <c r="AA916" s="1126"/>
    </row>
    <row r="917" ht="15.75" customHeight="1">
      <c r="A917" s="1126"/>
      <c r="B917" s="1126"/>
      <c r="C917" s="1126"/>
      <c r="D917" s="1126"/>
      <c r="E917" s="1126"/>
      <c r="F917" s="1126"/>
      <c r="G917" s="1126"/>
      <c r="H917" s="1126"/>
      <c r="I917" s="1126"/>
      <c r="J917" s="1126"/>
      <c r="K917" s="1126"/>
      <c r="L917" s="1126"/>
      <c r="M917" s="1126"/>
      <c r="N917" s="1126"/>
      <c r="O917" s="1126"/>
      <c r="P917" s="1126"/>
      <c r="Q917" s="1126"/>
      <c r="R917" s="1126"/>
      <c r="S917" s="1126"/>
      <c r="T917" s="1126"/>
      <c r="U917" s="1126"/>
      <c r="V917" s="1126"/>
      <c r="W917" s="1126"/>
      <c r="X917" s="1126"/>
      <c r="Y917" s="1126"/>
      <c r="Z917" s="1126"/>
      <c r="AA917" s="1126"/>
    </row>
    <row r="918" ht="15.75" customHeight="1">
      <c r="A918" s="1126"/>
      <c r="B918" s="1126"/>
      <c r="C918" s="1126"/>
      <c r="D918" s="1126"/>
      <c r="E918" s="1126"/>
      <c r="F918" s="1126"/>
      <c r="G918" s="1126"/>
      <c r="H918" s="1126"/>
      <c r="I918" s="1126"/>
      <c r="J918" s="1126"/>
      <c r="K918" s="1126"/>
      <c r="L918" s="1126"/>
      <c r="M918" s="1126"/>
      <c r="N918" s="1126"/>
      <c r="O918" s="1126"/>
      <c r="P918" s="1126"/>
      <c r="Q918" s="1126"/>
      <c r="R918" s="1126"/>
      <c r="S918" s="1126"/>
      <c r="T918" s="1126"/>
      <c r="U918" s="1126"/>
      <c r="V918" s="1126"/>
      <c r="W918" s="1126"/>
      <c r="X918" s="1126"/>
      <c r="Y918" s="1126"/>
      <c r="Z918" s="1126"/>
      <c r="AA918" s="1126"/>
    </row>
    <row r="919" ht="15.75" customHeight="1">
      <c r="A919" s="1126"/>
      <c r="B919" s="1126"/>
      <c r="C919" s="1126"/>
      <c r="D919" s="1126"/>
      <c r="E919" s="1126"/>
      <c r="F919" s="1126"/>
      <c r="G919" s="1126"/>
      <c r="H919" s="1126"/>
      <c r="I919" s="1126"/>
      <c r="J919" s="1126"/>
      <c r="K919" s="1126"/>
      <c r="L919" s="1126"/>
      <c r="M919" s="1126"/>
      <c r="N919" s="1126"/>
      <c r="O919" s="1126"/>
      <c r="P919" s="1126"/>
      <c r="Q919" s="1126"/>
      <c r="R919" s="1126"/>
      <c r="S919" s="1126"/>
      <c r="T919" s="1126"/>
      <c r="U919" s="1126"/>
      <c r="V919" s="1126"/>
      <c r="W919" s="1126"/>
      <c r="X919" s="1126"/>
      <c r="Y919" s="1126"/>
      <c r="Z919" s="1126"/>
      <c r="AA919" s="1126"/>
    </row>
    <row r="920" ht="15.75" customHeight="1">
      <c r="A920" s="1126"/>
      <c r="B920" s="1126"/>
      <c r="C920" s="1126"/>
      <c r="D920" s="1126"/>
      <c r="E920" s="1126"/>
      <c r="F920" s="1126"/>
      <c r="G920" s="1126"/>
      <c r="H920" s="1126"/>
      <c r="I920" s="1126"/>
      <c r="J920" s="1126"/>
      <c r="K920" s="1126"/>
      <c r="L920" s="1126"/>
      <c r="M920" s="1126"/>
      <c r="N920" s="1126"/>
      <c r="O920" s="1126"/>
      <c r="P920" s="1126"/>
      <c r="Q920" s="1126"/>
      <c r="R920" s="1126"/>
      <c r="S920" s="1126"/>
      <c r="T920" s="1126"/>
      <c r="U920" s="1126"/>
      <c r="V920" s="1126"/>
      <c r="W920" s="1126"/>
      <c r="X920" s="1126"/>
      <c r="Y920" s="1126"/>
      <c r="Z920" s="1126"/>
      <c r="AA920" s="1126"/>
    </row>
    <row r="921" ht="15.75" customHeight="1">
      <c r="A921" s="1126"/>
      <c r="B921" s="1126"/>
      <c r="C921" s="1126"/>
      <c r="D921" s="1126"/>
      <c r="E921" s="1126"/>
      <c r="F921" s="1126"/>
      <c r="G921" s="1126"/>
      <c r="H921" s="1126"/>
      <c r="I921" s="1126"/>
      <c r="J921" s="1126"/>
      <c r="K921" s="1126"/>
      <c r="L921" s="1126"/>
      <c r="M921" s="1126"/>
      <c r="N921" s="1126"/>
      <c r="O921" s="1126"/>
      <c r="P921" s="1126"/>
      <c r="Q921" s="1126"/>
      <c r="R921" s="1126"/>
      <c r="S921" s="1126"/>
      <c r="T921" s="1126"/>
      <c r="U921" s="1126"/>
      <c r="V921" s="1126"/>
      <c r="W921" s="1126"/>
      <c r="X921" s="1126"/>
      <c r="Y921" s="1126"/>
      <c r="Z921" s="1126"/>
      <c r="AA921" s="1126"/>
    </row>
    <row r="922" ht="15.75" customHeight="1">
      <c r="A922" s="1126"/>
      <c r="B922" s="1126"/>
      <c r="C922" s="1126"/>
      <c r="D922" s="1126"/>
      <c r="E922" s="1126"/>
      <c r="F922" s="1126"/>
      <c r="G922" s="1126"/>
      <c r="H922" s="1126"/>
      <c r="I922" s="1126"/>
      <c r="J922" s="1126"/>
      <c r="K922" s="1126"/>
      <c r="L922" s="1126"/>
      <c r="M922" s="1126"/>
      <c r="N922" s="1126"/>
      <c r="O922" s="1126"/>
      <c r="P922" s="1126"/>
      <c r="Q922" s="1126"/>
      <c r="R922" s="1126"/>
      <c r="S922" s="1126"/>
      <c r="T922" s="1126"/>
      <c r="U922" s="1126"/>
      <c r="V922" s="1126"/>
      <c r="W922" s="1126"/>
      <c r="X922" s="1126"/>
      <c r="Y922" s="1126"/>
      <c r="Z922" s="1126"/>
      <c r="AA922" s="1126"/>
    </row>
    <row r="923" ht="15.75" customHeight="1">
      <c r="A923" s="1126"/>
      <c r="B923" s="1126"/>
      <c r="C923" s="1126"/>
      <c r="D923" s="1126"/>
      <c r="E923" s="1126"/>
      <c r="F923" s="1126"/>
      <c r="G923" s="1126"/>
      <c r="H923" s="1126"/>
      <c r="I923" s="1126"/>
      <c r="J923" s="1126"/>
      <c r="K923" s="1126"/>
      <c r="L923" s="1126"/>
      <c r="M923" s="1126"/>
      <c r="N923" s="1126"/>
      <c r="O923" s="1126"/>
      <c r="P923" s="1126"/>
      <c r="Q923" s="1126"/>
      <c r="R923" s="1126"/>
      <c r="S923" s="1126"/>
      <c r="T923" s="1126"/>
      <c r="U923" s="1126"/>
      <c r="V923" s="1126"/>
      <c r="W923" s="1126"/>
      <c r="X923" s="1126"/>
      <c r="Y923" s="1126"/>
      <c r="Z923" s="1126"/>
      <c r="AA923" s="1126"/>
    </row>
    <row r="924" ht="15.75" customHeight="1">
      <c r="A924" s="1126"/>
      <c r="B924" s="1126"/>
      <c r="C924" s="1126"/>
      <c r="D924" s="1126"/>
      <c r="E924" s="1126"/>
      <c r="F924" s="1126"/>
      <c r="G924" s="1126"/>
      <c r="H924" s="1126"/>
      <c r="I924" s="1126"/>
      <c r="J924" s="1126"/>
      <c r="K924" s="1126"/>
      <c r="L924" s="1126"/>
      <c r="M924" s="1126"/>
      <c r="N924" s="1126"/>
      <c r="O924" s="1126"/>
      <c r="P924" s="1126"/>
      <c r="Q924" s="1126"/>
      <c r="R924" s="1126"/>
      <c r="S924" s="1126"/>
      <c r="T924" s="1126"/>
      <c r="U924" s="1126"/>
      <c r="V924" s="1126"/>
      <c r="W924" s="1126"/>
      <c r="X924" s="1126"/>
      <c r="Y924" s="1126"/>
      <c r="Z924" s="1126"/>
      <c r="AA924" s="1126"/>
    </row>
    <row r="925" ht="15.75" customHeight="1">
      <c r="A925" s="1126"/>
      <c r="B925" s="1126"/>
      <c r="C925" s="1126"/>
      <c r="D925" s="1126"/>
      <c r="E925" s="1126"/>
      <c r="F925" s="1126"/>
      <c r="G925" s="1126"/>
      <c r="H925" s="1126"/>
      <c r="I925" s="1126"/>
      <c r="J925" s="1126"/>
      <c r="K925" s="1126"/>
      <c r="L925" s="1126"/>
      <c r="M925" s="1126"/>
      <c r="N925" s="1126"/>
      <c r="O925" s="1126"/>
      <c r="P925" s="1126"/>
      <c r="Q925" s="1126"/>
      <c r="R925" s="1126"/>
      <c r="S925" s="1126"/>
      <c r="T925" s="1126"/>
      <c r="U925" s="1126"/>
      <c r="V925" s="1126"/>
      <c r="W925" s="1126"/>
      <c r="X925" s="1126"/>
      <c r="Y925" s="1126"/>
      <c r="Z925" s="1126"/>
      <c r="AA925" s="1126"/>
    </row>
    <row r="926" ht="15.75" customHeight="1">
      <c r="A926" s="1126"/>
      <c r="B926" s="1126"/>
      <c r="C926" s="1126"/>
      <c r="D926" s="1126"/>
      <c r="E926" s="1126"/>
      <c r="F926" s="1126"/>
      <c r="G926" s="1126"/>
      <c r="H926" s="1126"/>
      <c r="I926" s="1126"/>
      <c r="J926" s="1126"/>
      <c r="K926" s="1126"/>
      <c r="L926" s="1126"/>
      <c r="M926" s="1126"/>
      <c r="N926" s="1126"/>
      <c r="O926" s="1126"/>
      <c r="P926" s="1126"/>
      <c r="Q926" s="1126"/>
      <c r="R926" s="1126"/>
      <c r="S926" s="1126"/>
      <c r="T926" s="1126"/>
      <c r="U926" s="1126"/>
      <c r="V926" s="1126"/>
      <c r="W926" s="1126"/>
      <c r="X926" s="1126"/>
      <c r="Y926" s="1126"/>
      <c r="Z926" s="1126"/>
      <c r="AA926" s="1126"/>
    </row>
    <row r="927" ht="15.75" customHeight="1">
      <c r="A927" s="1126"/>
      <c r="B927" s="1126"/>
      <c r="C927" s="1126"/>
      <c r="D927" s="1126"/>
      <c r="E927" s="1126"/>
      <c r="F927" s="1126"/>
      <c r="G927" s="1126"/>
      <c r="H927" s="1126"/>
      <c r="I927" s="1126"/>
      <c r="J927" s="1126"/>
      <c r="K927" s="1126"/>
      <c r="L927" s="1126"/>
      <c r="M927" s="1126"/>
      <c r="N927" s="1126"/>
      <c r="O927" s="1126"/>
      <c r="P927" s="1126"/>
      <c r="Q927" s="1126"/>
      <c r="R927" s="1126"/>
      <c r="S927" s="1126"/>
      <c r="T927" s="1126"/>
      <c r="U927" s="1126"/>
      <c r="V927" s="1126"/>
      <c r="W927" s="1126"/>
      <c r="X927" s="1126"/>
      <c r="Y927" s="1126"/>
      <c r="Z927" s="1126"/>
      <c r="AA927" s="1126"/>
    </row>
    <row r="928" ht="15.75" customHeight="1">
      <c r="A928" s="1126"/>
      <c r="B928" s="1126"/>
      <c r="C928" s="1126"/>
      <c r="D928" s="1126"/>
      <c r="E928" s="1126"/>
      <c r="F928" s="1126"/>
      <c r="G928" s="1126"/>
      <c r="H928" s="1126"/>
      <c r="I928" s="1126"/>
      <c r="J928" s="1126"/>
      <c r="K928" s="1126"/>
      <c r="L928" s="1126"/>
      <c r="M928" s="1126"/>
      <c r="N928" s="1126"/>
      <c r="O928" s="1126"/>
      <c r="P928" s="1126"/>
      <c r="Q928" s="1126"/>
      <c r="R928" s="1126"/>
      <c r="S928" s="1126"/>
      <c r="T928" s="1126"/>
      <c r="U928" s="1126"/>
      <c r="V928" s="1126"/>
      <c r="W928" s="1126"/>
      <c r="X928" s="1126"/>
      <c r="Y928" s="1126"/>
      <c r="Z928" s="1126"/>
      <c r="AA928" s="1126"/>
    </row>
    <row r="929" ht="15.75" customHeight="1">
      <c r="A929" s="1126"/>
      <c r="B929" s="1126"/>
      <c r="C929" s="1126"/>
      <c r="D929" s="1126"/>
      <c r="E929" s="1126"/>
      <c r="F929" s="1126"/>
      <c r="G929" s="1126"/>
      <c r="H929" s="1126"/>
      <c r="I929" s="1126"/>
      <c r="J929" s="1126"/>
      <c r="K929" s="1126"/>
      <c r="L929" s="1126"/>
      <c r="M929" s="1126"/>
      <c r="N929" s="1126"/>
      <c r="O929" s="1126"/>
      <c r="P929" s="1126"/>
      <c r="Q929" s="1126"/>
      <c r="R929" s="1126"/>
      <c r="S929" s="1126"/>
      <c r="T929" s="1126"/>
      <c r="U929" s="1126"/>
      <c r="V929" s="1126"/>
      <c r="W929" s="1126"/>
      <c r="X929" s="1126"/>
      <c r="Y929" s="1126"/>
      <c r="Z929" s="1126"/>
      <c r="AA929" s="1126"/>
    </row>
    <row r="930" ht="15.75" customHeight="1">
      <c r="A930" s="1126"/>
      <c r="B930" s="1126"/>
      <c r="C930" s="1126"/>
      <c r="D930" s="1126"/>
      <c r="E930" s="1126"/>
      <c r="F930" s="1126"/>
      <c r="G930" s="1126"/>
      <c r="H930" s="1126"/>
      <c r="I930" s="1126"/>
      <c r="J930" s="1126"/>
      <c r="K930" s="1126"/>
      <c r="L930" s="1126"/>
      <c r="M930" s="1126"/>
      <c r="N930" s="1126"/>
      <c r="O930" s="1126"/>
      <c r="P930" s="1126"/>
      <c r="Q930" s="1126"/>
      <c r="R930" s="1126"/>
      <c r="S930" s="1126"/>
      <c r="T930" s="1126"/>
      <c r="U930" s="1126"/>
      <c r="V930" s="1126"/>
      <c r="W930" s="1126"/>
      <c r="X930" s="1126"/>
      <c r="Y930" s="1126"/>
      <c r="Z930" s="1126"/>
      <c r="AA930" s="1126"/>
    </row>
    <row r="931" ht="15.75" customHeight="1">
      <c r="A931" s="1126"/>
      <c r="B931" s="1126"/>
      <c r="C931" s="1126"/>
      <c r="D931" s="1126"/>
      <c r="E931" s="1126"/>
      <c r="F931" s="1126"/>
      <c r="G931" s="1126"/>
      <c r="H931" s="1126"/>
      <c r="I931" s="1126"/>
      <c r="J931" s="1126"/>
      <c r="K931" s="1126"/>
      <c r="L931" s="1126"/>
      <c r="M931" s="1126"/>
      <c r="N931" s="1126"/>
      <c r="O931" s="1126"/>
      <c r="P931" s="1126"/>
      <c r="Q931" s="1126"/>
      <c r="R931" s="1126"/>
      <c r="S931" s="1126"/>
      <c r="T931" s="1126"/>
      <c r="U931" s="1126"/>
      <c r="V931" s="1126"/>
      <c r="W931" s="1126"/>
      <c r="X931" s="1126"/>
      <c r="Y931" s="1126"/>
      <c r="Z931" s="1126"/>
      <c r="AA931" s="1126"/>
    </row>
    <row r="932" ht="15.75" customHeight="1">
      <c r="A932" s="1126"/>
      <c r="B932" s="1126"/>
      <c r="C932" s="1126"/>
      <c r="D932" s="1126"/>
      <c r="E932" s="1126"/>
      <c r="F932" s="1126"/>
      <c r="G932" s="1126"/>
      <c r="H932" s="1126"/>
      <c r="I932" s="1126"/>
      <c r="J932" s="1126"/>
      <c r="K932" s="1126"/>
      <c r="L932" s="1126"/>
      <c r="M932" s="1126"/>
      <c r="N932" s="1126"/>
      <c r="O932" s="1126"/>
      <c r="P932" s="1126"/>
      <c r="Q932" s="1126"/>
      <c r="R932" s="1126"/>
      <c r="S932" s="1126"/>
      <c r="T932" s="1126"/>
      <c r="U932" s="1126"/>
      <c r="V932" s="1126"/>
      <c r="W932" s="1126"/>
      <c r="X932" s="1126"/>
      <c r="Y932" s="1126"/>
      <c r="Z932" s="1126"/>
      <c r="AA932" s="1126"/>
    </row>
    <row r="933" ht="15.75" customHeight="1">
      <c r="A933" s="1126"/>
      <c r="B933" s="1126"/>
      <c r="C933" s="1126"/>
      <c r="D933" s="1126"/>
      <c r="E933" s="1126"/>
      <c r="F933" s="1126"/>
      <c r="G933" s="1126"/>
      <c r="H933" s="1126"/>
      <c r="I933" s="1126"/>
      <c r="J933" s="1126"/>
      <c r="K933" s="1126"/>
      <c r="L933" s="1126"/>
      <c r="M933" s="1126"/>
      <c r="N933" s="1126"/>
      <c r="O933" s="1126"/>
      <c r="P933" s="1126"/>
      <c r="Q933" s="1126"/>
      <c r="R933" s="1126"/>
      <c r="S933" s="1126"/>
      <c r="T933" s="1126"/>
      <c r="U933" s="1126"/>
      <c r="V933" s="1126"/>
      <c r="W933" s="1126"/>
      <c r="X933" s="1126"/>
      <c r="Y933" s="1126"/>
      <c r="Z933" s="1126"/>
      <c r="AA933" s="1126"/>
    </row>
    <row r="934" ht="15.75" customHeight="1">
      <c r="A934" s="1126"/>
      <c r="B934" s="1126"/>
      <c r="C934" s="1126"/>
      <c r="D934" s="1126"/>
      <c r="E934" s="1126"/>
      <c r="F934" s="1126"/>
      <c r="G934" s="1126"/>
      <c r="H934" s="1126"/>
      <c r="I934" s="1126"/>
      <c r="J934" s="1126"/>
      <c r="K934" s="1126"/>
      <c r="L934" s="1126"/>
      <c r="M934" s="1126"/>
      <c r="N934" s="1126"/>
      <c r="O934" s="1126"/>
      <c r="P934" s="1126"/>
      <c r="Q934" s="1126"/>
      <c r="R934" s="1126"/>
      <c r="S934" s="1126"/>
      <c r="T934" s="1126"/>
      <c r="U934" s="1126"/>
      <c r="V934" s="1126"/>
      <c r="W934" s="1126"/>
      <c r="X934" s="1126"/>
      <c r="Y934" s="1126"/>
      <c r="Z934" s="1126"/>
      <c r="AA934" s="1126"/>
    </row>
    <row r="935" ht="15.75" customHeight="1">
      <c r="A935" s="1126"/>
      <c r="B935" s="1126"/>
      <c r="C935" s="1126"/>
      <c r="D935" s="1126"/>
      <c r="E935" s="1126"/>
      <c r="F935" s="1126"/>
      <c r="G935" s="1126"/>
      <c r="H935" s="1126"/>
      <c r="I935" s="1126"/>
      <c r="J935" s="1126"/>
      <c r="K935" s="1126"/>
      <c r="L935" s="1126"/>
      <c r="M935" s="1126"/>
      <c r="N935" s="1126"/>
      <c r="O935" s="1126"/>
      <c r="P935" s="1126"/>
      <c r="Q935" s="1126"/>
      <c r="R935" s="1126"/>
      <c r="S935" s="1126"/>
      <c r="T935" s="1126"/>
      <c r="U935" s="1126"/>
      <c r="V935" s="1126"/>
      <c r="W935" s="1126"/>
      <c r="X935" s="1126"/>
      <c r="Y935" s="1126"/>
      <c r="Z935" s="1126"/>
      <c r="AA935" s="1126"/>
    </row>
    <row r="936" ht="15.75" customHeight="1">
      <c r="A936" s="1126"/>
      <c r="B936" s="1126"/>
      <c r="C936" s="1126"/>
      <c r="D936" s="1126"/>
      <c r="E936" s="1126"/>
      <c r="F936" s="1126"/>
      <c r="G936" s="1126"/>
      <c r="H936" s="1126"/>
      <c r="I936" s="1126"/>
      <c r="J936" s="1126"/>
      <c r="K936" s="1126"/>
      <c r="L936" s="1126"/>
      <c r="M936" s="1126"/>
      <c r="N936" s="1126"/>
      <c r="O936" s="1126"/>
      <c r="P936" s="1126"/>
      <c r="Q936" s="1126"/>
      <c r="R936" s="1126"/>
      <c r="S936" s="1126"/>
      <c r="T936" s="1126"/>
      <c r="U936" s="1126"/>
      <c r="V936" s="1126"/>
      <c r="W936" s="1126"/>
      <c r="X936" s="1126"/>
      <c r="Y936" s="1126"/>
      <c r="Z936" s="1126"/>
      <c r="AA936" s="1126"/>
    </row>
    <row r="937" ht="15.75" customHeight="1">
      <c r="A937" s="1126"/>
      <c r="B937" s="1126"/>
      <c r="C937" s="1126"/>
      <c r="D937" s="1126"/>
      <c r="E937" s="1126"/>
      <c r="F937" s="1126"/>
      <c r="G937" s="1126"/>
      <c r="H937" s="1126"/>
      <c r="I937" s="1126"/>
      <c r="J937" s="1126"/>
      <c r="K937" s="1126"/>
      <c r="L937" s="1126"/>
      <c r="M937" s="1126"/>
      <c r="N937" s="1126"/>
      <c r="O937" s="1126"/>
      <c r="P937" s="1126"/>
      <c r="Q937" s="1126"/>
      <c r="R937" s="1126"/>
      <c r="S937" s="1126"/>
      <c r="T937" s="1126"/>
      <c r="U937" s="1126"/>
      <c r="V937" s="1126"/>
      <c r="W937" s="1126"/>
      <c r="X937" s="1126"/>
      <c r="Y937" s="1126"/>
      <c r="Z937" s="1126"/>
      <c r="AA937" s="1126"/>
    </row>
    <row r="938" ht="15.75" customHeight="1">
      <c r="A938" s="1126"/>
      <c r="B938" s="1126"/>
      <c r="C938" s="1126"/>
      <c r="D938" s="1126"/>
      <c r="E938" s="1126"/>
      <c r="F938" s="1126"/>
      <c r="G938" s="1126"/>
      <c r="H938" s="1126"/>
      <c r="I938" s="1126"/>
      <c r="J938" s="1126"/>
      <c r="K938" s="1126"/>
      <c r="L938" s="1126"/>
      <c r="M938" s="1126"/>
      <c r="N938" s="1126"/>
      <c r="O938" s="1126"/>
      <c r="P938" s="1126"/>
      <c r="Q938" s="1126"/>
      <c r="R938" s="1126"/>
      <c r="S938" s="1126"/>
      <c r="T938" s="1126"/>
      <c r="U938" s="1126"/>
      <c r="V938" s="1126"/>
      <c r="W938" s="1126"/>
      <c r="X938" s="1126"/>
      <c r="Y938" s="1126"/>
      <c r="Z938" s="1126"/>
      <c r="AA938" s="1126"/>
    </row>
    <row r="939" ht="15.75" customHeight="1">
      <c r="A939" s="1126"/>
      <c r="B939" s="1126"/>
      <c r="C939" s="1126"/>
      <c r="D939" s="1126"/>
      <c r="E939" s="1126"/>
      <c r="F939" s="1126"/>
      <c r="G939" s="1126"/>
      <c r="H939" s="1126"/>
      <c r="I939" s="1126"/>
      <c r="J939" s="1126"/>
      <c r="K939" s="1126"/>
      <c r="L939" s="1126"/>
      <c r="M939" s="1126"/>
      <c r="N939" s="1126"/>
      <c r="O939" s="1126"/>
      <c r="P939" s="1126"/>
      <c r="Q939" s="1126"/>
      <c r="R939" s="1126"/>
      <c r="S939" s="1126"/>
      <c r="T939" s="1126"/>
      <c r="U939" s="1126"/>
      <c r="V939" s="1126"/>
      <c r="W939" s="1126"/>
      <c r="X939" s="1126"/>
      <c r="Y939" s="1126"/>
      <c r="Z939" s="1126"/>
      <c r="AA939" s="1126"/>
    </row>
    <row r="940" ht="15.75" customHeight="1">
      <c r="A940" s="1126"/>
      <c r="B940" s="1126"/>
      <c r="C940" s="1126"/>
      <c r="D940" s="1126"/>
      <c r="E940" s="1126"/>
      <c r="F940" s="1126"/>
      <c r="G940" s="1126"/>
      <c r="H940" s="1126"/>
      <c r="I940" s="1126"/>
      <c r="J940" s="1126"/>
      <c r="K940" s="1126"/>
      <c r="L940" s="1126"/>
      <c r="M940" s="1126"/>
      <c r="N940" s="1126"/>
      <c r="O940" s="1126"/>
      <c r="P940" s="1126"/>
      <c r="Q940" s="1126"/>
      <c r="R940" s="1126"/>
      <c r="S940" s="1126"/>
      <c r="T940" s="1126"/>
      <c r="U940" s="1126"/>
      <c r="V940" s="1126"/>
      <c r="W940" s="1126"/>
      <c r="X940" s="1126"/>
      <c r="Y940" s="1126"/>
      <c r="Z940" s="1126"/>
      <c r="AA940" s="1126"/>
    </row>
    <row r="941" ht="15.75" customHeight="1">
      <c r="A941" s="1126"/>
      <c r="B941" s="1126"/>
      <c r="C941" s="1126"/>
      <c r="D941" s="1126"/>
      <c r="E941" s="1126"/>
      <c r="F941" s="1126"/>
      <c r="G941" s="1126"/>
      <c r="H941" s="1126"/>
      <c r="I941" s="1126"/>
      <c r="J941" s="1126"/>
      <c r="K941" s="1126"/>
      <c r="L941" s="1126"/>
      <c r="M941" s="1126"/>
      <c r="N941" s="1126"/>
      <c r="O941" s="1126"/>
      <c r="P941" s="1126"/>
      <c r="Q941" s="1126"/>
      <c r="R941" s="1126"/>
      <c r="S941" s="1126"/>
      <c r="T941" s="1126"/>
      <c r="U941" s="1126"/>
      <c r="V941" s="1126"/>
      <c r="W941" s="1126"/>
      <c r="X941" s="1126"/>
      <c r="Y941" s="1126"/>
      <c r="Z941" s="1126"/>
      <c r="AA941" s="1126"/>
    </row>
    <row r="942" ht="15.75" customHeight="1">
      <c r="A942" s="1126"/>
      <c r="B942" s="1126"/>
      <c r="C942" s="1126"/>
      <c r="D942" s="1126"/>
      <c r="E942" s="1126"/>
      <c r="F942" s="1126"/>
      <c r="G942" s="1126"/>
      <c r="H942" s="1126"/>
      <c r="I942" s="1126"/>
      <c r="J942" s="1126"/>
      <c r="K942" s="1126"/>
      <c r="L942" s="1126"/>
      <c r="M942" s="1126"/>
      <c r="N942" s="1126"/>
      <c r="O942" s="1126"/>
      <c r="P942" s="1126"/>
      <c r="Q942" s="1126"/>
      <c r="R942" s="1126"/>
      <c r="S942" s="1126"/>
      <c r="T942" s="1126"/>
      <c r="U942" s="1126"/>
      <c r="V942" s="1126"/>
      <c r="W942" s="1126"/>
      <c r="X942" s="1126"/>
      <c r="Y942" s="1126"/>
      <c r="Z942" s="1126"/>
      <c r="AA942" s="1126"/>
    </row>
    <row r="943" ht="15.75" customHeight="1">
      <c r="A943" s="1126"/>
      <c r="B943" s="1126"/>
      <c r="C943" s="1126"/>
      <c r="D943" s="1126"/>
      <c r="E943" s="1126"/>
      <c r="F943" s="1126"/>
      <c r="G943" s="1126"/>
      <c r="H943" s="1126"/>
      <c r="I943" s="1126"/>
      <c r="J943" s="1126"/>
      <c r="K943" s="1126"/>
      <c r="L943" s="1126"/>
      <c r="M943" s="1126"/>
      <c r="N943" s="1126"/>
      <c r="O943" s="1126"/>
      <c r="P943" s="1126"/>
      <c r="Q943" s="1126"/>
      <c r="R943" s="1126"/>
      <c r="S943" s="1126"/>
      <c r="T943" s="1126"/>
      <c r="U943" s="1126"/>
      <c r="V943" s="1126"/>
      <c r="W943" s="1126"/>
      <c r="X943" s="1126"/>
      <c r="Y943" s="1126"/>
      <c r="Z943" s="1126"/>
      <c r="AA943" s="1126"/>
    </row>
    <row r="944" ht="15.75" customHeight="1">
      <c r="A944" s="1126"/>
      <c r="B944" s="1126"/>
      <c r="C944" s="1126"/>
      <c r="D944" s="1126"/>
      <c r="E944" s="1126"/>
      <c r="F944" s="1126"/>
      <c r="G944" s="1126"/>
      <c r="H944" s="1126"/>
      <c r="I944" s="1126"/>
      <c r="J944" s="1126"/>
      <c r="K944" s="1126"/>
      <c r="L944" s="1126"/>
      <c r="M944" s="1126"/>
      <c r="N944" s="1126"/>
      <c r="O944" s="1126"/>
      <c r="P944" s="1126"/>
      <c r="Q944" s="1126"/>
      <c r="R944" s="1126"/>
      <c r="S944" s="1126"/>
      <c r="T944" s="1126"/>
      <c r="U944" s="1126"/>
      <c r="V944" s="1126"/>
      <c r="W944" s="1126"/>
      <c r="X944" s="1126"/>
      <c r="Y944" s="1126"/>
      <c r="Z944" s="1126"/>
      <c r="AA944" s="1126"/>
    </row>
    <row r="945" ht="15.75" customHeight="1">
      <c r="A945" s="1126"/>
      <c r="B945" s="1126"/>
      <c r="C945" s="1126"/>
      <c r="D945" s="1126"/>
      <c r="E945" s="1126"/>
      <c r="F945" s="1126"/>
      <c r="G945" s="1126"/>
      <c r="H945" s="1126"/>
      <c r="I945" s="1126"/>
      <c r="J945" s="1126"/>
      <c r="K945" s="1126"/>
      <c r="L945" s="1126"/>
      <c r="M945" s="1126"/>
      <c r="N945" s="1126"/>
      <c r="O945" s="1126"/>
      <c r="P945" s="1126"/>
      <c r="Q945" s="1126"/>
      <c r="R945" s="1126"/>
      <c r="S945" s="1126"/>
      <c r="T945" s="1126"/>
      <c r="U945" s="1126"/>
      <c r="V945" s="1126"/>
      <c r="W945" s="1126"/>
      <c r="X945" s="1126"/>
      <c r="Y945" s="1126"/>
      <c r="Z945" s="1126"/>
      <c r="AA945" s="1126"/>
    </row>
    <row r="946" ht="15.75" customHeight="1">
      <c r="A946" s="1126"/>
      <c r="B946" s="1126"/>
      <c r="C946" s="1126"/>
      <c r="D946" s="1126"/>
      <c r="E946" s="1126"/>
      <c r="F946" s="1126"/>
      <c r="G946" s="1126"/>
      <c r="H946" s="1126"/>
      <c r="I946" s="1126"/>
      <c r="J946" s="1126"/>
      <c r="K946" s="1126"/>
      <c r="L946" s="1126"/>
      <c r="M946" s="1126"/>
      <c r="N946" s="1126"/>
      <c r="O946" s="1126"/>
      <c r="P946" s="1126"/>
      <c r="Q946" s="1126"/>
      <c r="R946" s="1126"/>
      <c r="S946" s="1126"/>
      <c r="T946" s="1126"/>
      <c r="U946" s="1126"/>
      <c r="V946" s="1126"/>
      <c r="W946" s="1126"/>
      <c r="X946" s="1126"/>
      <c r="Y946" s="1126"/>
      <c r="Z946" s="1126"/>
      <c r="AA946" s="1126"/>
    </row>
    <row r="947" ht="15.75" customHeight="1">
      <c r="A947" s="1126"/>
      <c r="B947" s="1126"/>
      <c r="C947" s="1126"/>
      <c r="D947" s="1126"/>
      <c r="E947" s="1126"/>
      <c r="F947" s="1126"/>
      <c r="G947" s="1126"/>
      <c r="H947" s="1126"/>
      <c r="I947" s="1126"/>
      <c r="J947" s="1126"/>
      <c r="K947" s="1126"/>
      <c r="L947" s="1126"/>
      <c r="M947" s="1126"/>
      <c r="N947" s="1126"/>
      <c r="O947" s="1126"/>
      <c r="P947" s="1126"/>
      <c r="Q947" s="1126"/>
      <c r="R947" s="1126"/>
      <c r="S947" s="1126"/>
      <c r="T947" s="1126"/>
      <c r="U947" s="1126"/>
      <c r="V947" s="1126"/>
      <c r="W947" s="1126"/>
      <c r="X947" s="1126"/>
      <c r="Y947" s="1126"/>
      <c r="Z947" s="1126"/>
      <c r="AA947" s="1126"/>
    </row>
    <row r="948" ht="15.75" customHeight="1">
      <c r="A948" s="1126"/>
      <c r="B948" s="1126"/>
      <c r="C948" s="1126"/>
      <c r="D948" s="1126"/>
      <c r="E948" s="1126"/>
      <c r="F948" s="1126"/>
      <c r="G948" s="1126"/>
      <c r="H948" s="1126"/>
      <c r="I948" s="1126"/>
      <c r="J948" s="1126"/>
      <c r="K948" s="1126"/>
      <c r="L948" s="1126"/>
      <c r="M948" s="1126"/>
      <c r="N948" s="1126"/>
      <c r="O948" s="1126"/>
      <c r="P948" s="1126"/>
      <c r="Q948" s="1126"/>
      <c r="R948" s="1126"/>
      <c r="S948" s="1126"/>
      <c r="T948" s="1126"/>
      <c r="U948" s="1126"/>
      <c r="V948" s="1126"/>
      <c r="W948" s="1126"/>
      <c r="X948" s="1126"/>
      <c r="Y948" s="1126"/>
      <c r="Z948" s="1126"/>
      <c r="AA948" s="1126"/>
    </row>
    <row r="949" ht="15.75" customHeight="1">
      <c r="A949" s="1126"/>
      <c r="B949" s="1126"/>
      <c r="C949" s="1126"/>
      <c r="D949" s="1126"/>
      <c r="E949" s="1126"/>
      <c r="F949" s="1126"/>
      <c r="G949" s="1126"/>
      <c r="H949" s="1126"/>
      <c r="I949" s="1126"/>
      <c r="J949" s="1126"/>
      <c r="K949" s="1126"/>
      <c r="L949" s="1126"/>
      <c r="M949" s="1126"/>
      <c r="N949" s="1126"/>
      <c r="O949" s="1126"/>
      <c r="P949" s="1126"/>
      <c r="Q949" s="1126"/>
      <c r="R949" s="1126"/>
      <c r="S949" s="1126"/>
      <c r="T949" s="1126"/>
      <c r="U949" s="1126"/>
      <c r="V949" s="1126"/>
      <c r="W949" s="1126"/>
      <c r="X949" s="1126"/>
      <c r="Y949" s="1126"/>
      <c r="Z949" s="1126"/>
      <c r="AA949" s="1126"/>
    </row>
    <row r="950" ht="15.75" customHeight="1">
      <c r="A950" s="1126"/>
      <c r="B950" s="1126"/>
      <c r="C950" s="1126"/>
      <c r="D950" s="1126"/>
      <c r="E950" s="1126"/>
      <c r="F950" s="1126"/>
      <c r="G950" s="1126"/>
      <c r="H950" s="1126"/>
      <c r="I950" s="1126"/>
      <c r="J950" s="1126"/>
      <c r="K950" s="1126"/>
      <c r="L950" s="1126"/>
      <c r="M950" s="1126"/>
      <c r="N950" s="1126"/>
      <c r="O950" s="1126"/>
      <c r="P950" s="1126"/>
      <c r="Q950" s="1126"/>
      <c r="R950" s="1126"/>
      <c r="S950" s="1126"/>
      <c r="T950" s="1126"/>
      <c r="U950" s="1126"/>
      <c r="V950" s="1126"/>
      <c r="W950" s="1126"/>
      <c r="X950" s="1126"/>
      <c r="Y950" s="1126"/>
      <c r="Z950" s="1126"/>
      <c r="AA950" s="1126"/>
    </row>
    <row r="951" ht="15.75" customHeight="1">
      <c r="A951" s="1126"/>
      <c r="B951" s="1126"/>
      <c r="C951" s="1126"/>
      <c r="D951" s="1126"/>
      <c r="E951" s="1126"/>
      <c r="F951" s="1126"/>
      <c r="G951" s="1126"/>
      <c r="H951" s="1126"/>
      <c r="I951" s="1126"/>
      <c r="J951" s="1126"/>
      <c r="K951" s="1126"/>
      <c r="L951" s="1126"/>
      <c r="M951" s="1126"/>
      <c r="N951" s="1126"/>
      <c r="O951" s="1126"/>
      <c r="P951" s="1126"/>
      <c r="Q951" s="1126"/>
      <c r="R951" s="1126"/>
      <c r="S951" s="1126"/>
      <c r="T951" s="1126"/>
      <c r="U951" s="1126"/>
      <c r="V951" s="1126"/>
      <c r="W951" s="1126"/>
      <c r="X951" s="1126"/>
      <c r="Y951" s="1126"/>
      <c r="Z951" s="1126"/>
      <c r="AA951" s="1126"/>
    </row>
    <row r="952" ht="15.75" customHeight="1">
      <c r="A952" s="1126"/>
      <c r="B952" s="1126"/>
      <c r="C952" s="1126"/>
      <c r="D952" s="1126"/>
      <c r="E952" s="1126"/>
      <c r="F952" s="1126"/>
      <c r="G952" s="1126"/>
      <c r="H952" s="1126"/>
      <c r="I952" s="1126"/>
      <c r="J952" s="1126"/>
      <c r="K952" s="1126"/>
      <c r="L952" s="1126"/>
      <c r="M952" s="1126"/>
      <c r="N952" s="1126"/>
      <c r="O952" s="1126"/>
      <c r="P952" s="1126"/>
      <c r="Q952" s="1126"/>
      <c r="R952" s="1126"/>
      <c r="S952" s="1126"/>
      <c r="T952" s="1126"/>
      <c r="U952" s="1126"/>
      <c r="V952" s="1126"/>
      <c r="W952" s="1126"/>
      <c r="X952" s="1126"/>
      <c r="Y952" s="1126"/>
      <c r="Z952" s="1126"/>
      <c r="AA952" s="1126"/>
    </row>
    <row r="953" ht="15.75" customHeight="1">
      <c r="A953" s="1126"/>
      <c r="B953" s="1126"/>
      <c r="C953" s="1126"/>
      <c r="D953" s="1126"/>
      <c r="E953" s="1126"/>
      <c r="F953" s="1126"/>
      <c r="G953" s="1126"/>
      <c r="H953" s="1126"/>
      <c r="I953" s="1126"/>
      <c r="J953" s="1126"/>
      <c r="K953" s="1126"/>
      <c r="L953" s="1126"/>
      <c r="M953" s="1126"/>
      <c r="N953" s="1126"/>
      <c r="O953" s="1126"/>
      <c r="P953" s="1126"/>
      <c r="Q953" s="1126"/>
      <c r="R953" s="1126"/>
      <c r="S953" s="1126"/>
      <c r="T953" s="1126"/>
      <c r="U953" s="1126"/>
      <c r="V953" s="1126"/>
      <c r="W953" s="1126"/>
      <c r="X953" s="1126"/>
      <c r="Y953" s="1126"/>
      <c r="Z953" s="1126"/>
      <c r="AA953" s="1126"/>
    </row>
    <row r="954" ht="15.75" customHeight="1">
      <c r="A954" s="1126"/>
      <c r="B954" s="1126"/>
      <c r="C954" s="1126"/>
      <c r="D954" s="1126"/>
      <c r="E954" s="1126"/>
      <c r="F954" s="1126"/>
      <c r="G954" s="1126"/>
      <c r="H954" s="1126"/>
      <c r="I954" s="1126"/>
      <c r="J954" s="1126"/>
      <c r="K954" s="1126"/>
      <c r="L954" s="1126"/>
      <c r="M954" s="1126"/>
      <c r="N954" s="1126"/>
      <c r="O954" s="1126"/>
      <c r="P954" s="1126"/>
      <c r="Q954" s="1126"/>
      <c r="R954" s="1126"/>
      <c r="S954" s="1126"/>
      <c r="T954" s="1126"/>
      <c r="U954" s="1126"/>
      <c r="V954" s="1126"/>
      <c r="W954" s="1126"/>
      <c r="X954" s="1126"/>
      <c r="Y954" s="1126"/>
      <c r="Z954" s="1126"/>
      <c r="AA954" s="1126"/>
    </row>
    <row r="955" ht="15.75" customHeight="1">
      <c r="A955" s="1126"/>
      <c r="B955" s="1126"/>
      <c r="C955" s="1126"/>
      <c r="D955" s="1126"/>
      <c r="E955" s="1126"/>
      <c r="F955" s="1126"/>
      <c r="G955" s="1126"/>
      <c r="H955" s="1126"/>
      <c r="I955" s="1126"/>
      <c r="J955" s="1126"/>
      <c r="K955" s="1126"/>
      <c r="L955" s="1126"/>
      <c r="M955" s="1126"/>
      <c r="N955" s="1126"/>
      <c r="O955" s="1126"/>
      <c r="P955" s="1126"/>
      <c r="Q955" s="1126"/>
      <c r="R955" s="1126"/>
      <c r="S955" s="1126"/>
      <c r="T955" s="1126"/>
      <c r="U955" s="1126"/>
      <c r="V955" s="1126"/>
      <c r="W955" s="1126"/>
      <c r="X955" s="1126"/>
      <c r="Y955" s="1126"/>
      <c r="Z955" s="1126"/>
      <c r="AA955" s="1126"/>
    </row>
    <row r="956" ht="15.75" customHeight="1">
      <c r="A956" s="1126"/>
      <c r="B956" s="1126"/>
      <c r="C956" s="1126"/>
      <c r="D956" s="1126"/>
      <c r="E956" s="1126"/>
      <c r="F956" s="1126"/>
      <c r="G956" s="1126"/>
      <c r="H956" s="1126"/>
      <c r="I956" s="1126"/>
      <c r="J956" s="1126"/>
      <c r="K956" s="1126"/>
      <c r="L956" s="1126"/>
      <c r="M956" s="1126"/>
      <c r="N956" s="1126"/>
      <c r="O956" s="1126"/>
      <c r="P956" s="1126"/>
      <c r="Q956" s="1126"/>
      <c r="R956" s="1126"/>
      <c r="S956" s="1126"/>
      <c r="T956" s="1126"/>
      <c r="U956" s="1126"/>
      <c r="V956" s="1126"/>
      <c r="W956" s="1126"/>
      <c r="X956" s="1126"/>
      <c r="Y956" s="1126"/>
      <c r="Z956" s="1126"/>
      <c r="AA956" s="1126"/>
    </row>
    <row r="957" ht="15.75" customHeight="1">
      <c r="A957" s="1126"/>
      <c r="B957" s="1126"/>
      <c r="C957" s="1126"/>
      <c r="D957" s="1126"/>
      <c r="E957" s="1126"/>
      <c r="F957" s="1126"/>
      <c r="G957" s="1126"/>
      <c r="H957" s="1126"/>
      <c r="I957" s="1126"/>
      <c r="J957" s="1126"/>
      <c r="K957" s="1126"/>
      <c r="L957" s="1126"/>
      <c r="M957" s="1126"/>
      <c r="N957" s="1126"/>
      <c r="O957" s="1126"/>
      <c r="P957" s="1126"/>
      <c r="Q957" s="1126"/>
      <c r="R957" s="1126"/>
      <c r="S957" s="1126"/>
      <c r="T957" s="1126"/>
      <c r="U957" s="1126"/>
      <c r="V957" s="1126"/>
      <c r="W957" s="1126"/>
      <c r="X957" s="1126"/>
      <c r="Y957" s="1126"/>
      <c r="Z957" s="1126"/>
      <c r="AA957" s="1126"/>
    </row>
    <row r="958" ht="15.75" customHeight="1">
      <c r="A958" s="1126"/>
      <c r="B958" s="1126"/>
      <c r="C958" s="1126"/>
      <c r="D958" s="1126"/>
      <c r="E958" s="1126"/>
      <c r="F958" s="1126"/>
      <c r="G958" s="1126"/>
      <c r="H958" s="1126"/>
      <c r="I958" s="1126"/>
      <c r="J958" s="1126"/>
      <c r="K958" s="1126"/>
      <c r="L958" s="1126"/>
      <c r="M958" s="1126"/>
      <c r="N958" s="1126"/>
      <c r="O958" s="1126"/>
      <c r="P958" s="1126"/>
      <c r="Q958" s="1126"/>
      <c r="R958" s="1126"/>
      <c r="S958" s="1126"/>
      <c r="T958" s="1126"/>
      <c r="U958" s="1126"/>
      <c r="V958" s="1126"/>
      <c r="W958" s="1126"/>
      <c r="X958" s="1126"/>
      <c r="Y958" s="1126"/>
      <c r="Z958" s="1126"/>
      <c r="AA958" s="1126"/>
    </row>
    <row r="959" ht="15.75" customHeight="1">
      <c r="A959" s="1126"/>
      <c r="B959" s="1126"/>
      <c r="C959" s="1126"/>
      <c r="D959" s="1126"/>
      <c r="E959" s="1126"/>
      <c r="F959" s="1126"/>
      <c r="G959" s="1126"/>
      <c r="H959" s="1126"/>
      <c r="I959" s="1126"/>
      <c r="J959" s="1126"/>
      <c r="K959" s="1126"/>
      <c r="L959" s="1126"/>
      <c r="M959" s="1126"/>
      <c r="N959" s="1126"/>
      <c r="O959" s="1126"/>
      <c r="P959" s="1126"/>
      <c r="Q959" s="1126"/>
      <c r="R959" s="1126"/>
      <c r="S959" s="1126"/>
      <c r="T959" s="1126"/>
      <c r="U959" s="1126"/>
      <c r="V959" s="1126"/>
      <c r="W959" s="1126"/>
      <c r="X959" s="1126"/>
      <c r="Y959" s="1126"/>
      <c r="Z959" s="1126"/>
      <c r="AA959" s="1126"/>
    </row>
    <row r="960" ht="15.75" customHeight="1">
      <c r="A960" s="1126"/>
      <c r="B960" s="1126"/>
      <c r="C960" s="1126"/>
      <c r="D960" s="1126"/>
      <c r="E960" s="1126"/>
      <c r="F960" s="1126"/>
      <c r="G960" s="1126"/>
      <c r="H960" s="1126"/>
      <c r="I960" s="1126"/>
      <c r="J960" s="1126"/>
      <c r="K960" s="1126"/>
      <c r="L960" s="1126"/>
      <c r="M960" s="1126"/>
      <c r="N960" s="1126"/>
      <c r="O960" s="1126"/>
      <c r="P960" s="1126"/>
      <c r="Q960" s="1126"/>
      <c r="R960" s="1126"/>
      <c r="S960" s="1126"/>
      <c r="T960" s="1126"/>
      <c r="U960" s="1126"/>
      <c r="V960" s="1126"/>
      <c r="W960" s="1126"/>
      <c r="X960" s="1126"/>
      <c r="Y960" s="1126"/>
      <c r="Z960" s="1126"/>
      <c r="AA960" s="1126"/>
    </row>
    <row r="961" ht="15.75" customHeight="1">
      <c r="A961" s="1126"/>
      <c r="B961" s="1126"/>
      <c r="C961" s="1126"/>
      <c r="D961" s="1126"/>
      <c r="E961" s="1126"/>
      <c r="F961" s="1126"/>
      <c r="G961" s="1126"/>
      <c r="H961" s="1126"/>
      <c r="I961" s="1126"/>
      <c r="J961" s="1126"/>
      <c r="K961" s="1126"/>
      <c r="L961" s="1126"/>
      <c r="M961" s="1126"/>
      <c r="N961" s="1126"/>
      <c r="O961" s="1126"/>
      <c r="P961" s="1126"/>
      <c r="Q961" s="1126"/>
      <c r="R961" s="1126"/>
      <c r="S961" s="1126"/>
      <c r="T961" s="1126"/>
      <c r="U961" s="1126"/>
      <c r="V961" s="1126"/>
      <c r="W961" s="1126"/>
      <c r="X961" s="1126"/>
      <c r="Y961" s="1126"/>
      <c r="Z961" s="1126"/>
      <c r="AA961" s="1126"/>
    </row>
    <row r="962" ht="15.75" customHeight="1">
      <c r="A962" s="1126"/>
      <c r="B962" s="1126"/>
      <c r="C962" s="1126"/>
      <c r="D962" s="1126"/>
      <c r="E962" s="1126"/>
      <c r="F962" s="1126"/>
      <c r="G962" s="1126"/>
      <c r="H962" s="1126"/>
      <c r="I962" s="1126"/>
      <c r="J962" s="1126"/>
      <c r="K962" s="1126"/>
      <c r="L962" s="1126"/>
      <c r="M962" s="1126"/>
      <c r="N962" s="1126"/>
      <c r="O962" s="1126"/>
      <c r="P962" s="1126"/>
      <c r="Q962" s="1126"/>
      <c r="R962" s="1126"/>
      <c r="S962" s="1126"/>
      <c r="T962" s="1126"/>
      <c r="U962" s="1126"/>
      <c r="V962" s="1126"/>
      <c r="W962" s="1126"/>
      <c r="X962" s="1126"/>
      <c r="Y962" s="1126"/>
      <c r="Z962" s="1126"/>
      <c r="AA962" s="1126"/>
    </row>
    <row r="963" ht="15.75" customHeight="1">
      <c r="A963" s="1126"/>
      <c r="B963" s="1126"/>
      <c r="C963" s="1126"/>
      <c r="D963" s="1126"/>
      <c r="E963" s="1126"/>
      <c r="F963" s="1126"/>
      <c r="G963" s="1126"/>
      <c r="H963" s="1126"/>
      <c r="I963" s="1126"/>
      <c r="J963" s="1126"/>
      <c r="K963" s="1126"/>
      <c r="L963" s="1126"/>
      <c r="M963" s="1126"/>
      <c r="N963" s="1126"/>
      <c r="O963" s="1126"/>
      <c r="P963" s="1126"/>
      <c r="Q963" s="1126"/>
      <c r="R963" s="1126"/>
      <c r="S963" s="1126"/>
      <c r="T963" s="1126"/>
      <c r="U963" s="1126"/>
      <c r="V963" s="1126"/>
      <c r="W963" s="1126"/>
      <c r="X963" s="1126"/>
      <c r="Y963" s="1126"/>
      <c r="Z963" s="1126"/>
      <c r="AA963" s="1126"/>
    </row>
    <row r="964" ht="15.75" customHeight="1">
      <c r="A964" s="1126"/>
      <c r="B964" s="1126"/>
      <c r="C964" s="1126"/>
      <c r="D964" s="1126"/>
      <c r="E964" s="1126"/>
      <c r="F964" s="1126"/>
      <c r="G964" s="1126"/>
      <c r="H964" s="1126"/>
      <c r="I964" s="1126"/>
      <c r="J964" s="1126"/>
      <c r="K964" s="1126"/>
      <c r="L964" s="1126"/>
      <c r="M964" s="1126"/>
      <c r="N964" s="1126"/>
      <c r="O964" s="1126"/>
      <c r="P964" s="1126"/>
      <c r="Q964" s="1126"/>
      <c r="R964" s="1126"/>
      <c r="S964" s="1126"/>
      <c r="T964" s="1126"/>
      <c r="U964" s="1126"/>
      <c r="V964" s="1126"/>
      <c r="W964" s="1126"/>
      <c r="X964" s="1126"/>
      <c r="Y964" s="1126"/>
      <c r="Z964" s="1126"/>
      <c r="AA964" s="1126"/>
    </row>
    <row r="965" ht="15.75" customHeight="1">
      <c r="A965" s="1126"/>
      <c r="B965" s="1126"/>
      <c r="C965" s="1126"/>
      <c r="D965" s="1126"/>
      <c r="E965" s="1126"/>
      <c r="F965" s="1126"/>
      <c r="G965" s="1126"/>
      <c r="H965" s="1126"/>
      <c r="I965" s="1126"/>
      <c r="J965" s="1126"/>
      <c r="K965" s="1126"/>
      <c r="L965" s="1126"/>
      <c r="M965" s="1126"/>
      <c r="N965" s="1126"/>
      <c r="O965" s="1126"/>
      <c r="P965" s="1126"/>
      <c r="Q965" s="1126"/>
      <c r="R965" s="1126"/>
      <c r="S965" s="1126"/>
      <c r="T965" s="1126"/>
      <c r="U965" s="1126"/>
      <c r="V965" s="1126"/>
      <c r="W965" s="1126"/>
      <c r="X965" s="1126"/>
      <c r="Y965" s="1126"/>
      <c r="Z965" s="1126"/>
      <c r="AA965" s="1126"/>
    </row>
    <row r="966" ht="15.75" customHeight="1">
      <c r="A966" s="1126"/>
      <c r="B966" s="1126"/>
      <c r="C966" s="1126"/>
      <c r="D966" s="1126"/>
      <c r="E966" s="1126"/>
      <c r="F966" s="1126"/>
      <c r="G966" s="1126"/>
      <c r="H966" s="1126"/>
      <c r="I966" s="1126"/>
      <c r="J966" s="1126"/>
      <c r="K966" s="1126"/>
      <c r="L966" s="1126"/>
      <c r="M966" s="1126"/>
      <c r="N966" s="1126"/>
      <c r="O966" s="1126"/>
      <c r="P966" s="1126"/>
      <c r="Q966" s="1126"/>
      <c r="R966" s="1126"/>
      <c r="S966" s="1126"/>
      <c r="T966" s="1126"/>
      <c r="U966" s="1126"/>
      <c r="V966" s="1126"/>
      <c r="W966" s="1126"/>
      <c r="X966" s="1126"/>
      <c r="Y966" s="1126"/>
      <c r="Z966" s="1126"/>
      <c r="AA966" s="1126"/>
    </row>
    <row r="967" ht="15.75" customHeight="1">
      <c r="A967" s="1126"/>
      <c r="B967" s="1126"/>
      <c r="C967" s="1126"/>
      <c r="D967" s="1126"/>
      <c r="E967" s="1126"/>
      <c r="F967" s="1126"/>
      <c r="G967" s="1126"/>
      <c r="H967" s="1126"/>
      <c r="I967" s="1126"/>
      <c r="J967" s="1126"/>
      <c r="K967" s="1126"/>
      <c r="L967" s="1126"/>
      <c r="M967" s="1126"/>
      <c r="N967" s="1126"/>
      <c r="O967" s="1126"/>
      <c r="P967" s="1126"/>
      <c r="Q967" s="1126"/>
      <c r="R967" s="1126"/>
      <c r="S967" s="1126"/>
      <c r="T967" s="1126"/>
      <c r="U967" s="1126"/>
      <c r="V967" s="1126"/>
      <c r="W967" s="1126"/>
      <c r="X967" s="1126"/>
      <c r="Y967" s="1126"/>
      <c r="Z967" s="1126"/>
      <c r="AA967" s="1126"/>
    </row>
    <row r="968" ht="15.75" customHeight="1">
      <c r="A968" s="1126"/>
      <c r="B968" s="1126"/>
      <c r="C968" s="1126"/>
      <c r="D968" s="1126"/>
      <c r="E968" s="1126"/>
      <c r="F968" s="1126"/>
      <c r="G968" s="1126"/>
      <c r="H968" s="1126"/>
      <c r="I968" s="1126"/>
      <c r="J968" s="1126"/>
      <c r="K968" s="1126"/>
      <c r="L968" s="1126"/>
      <c r="M968" s="1126"/>
      <c r="N968" s="1126"/>
      <c r="O968" s="1126"/>
      <c r="P968" s="1126"/>
      <c r="Q968" s="1126"/>
      <c r="R968" s="1126"/>
      <c r="S968" s="1126"/>
      <c r="T968" s="1126"/>
      <c r="U968" s="1126"/>
      <c r="V968" s="1126"/>
      <c r="W968" s="1126"/>
      <c r="X968" s="1126"/>
      <c r="Y968" s="1126"/>
      <c r="Z968" s="1126"/>
      <c r="AA968" s="1126"/>
    </row>
    <row r="969" ht="15.75" customHeight="1">
      <c r="A969" s="1126"/>
      <c r="B969" s="1126"/>
      <c r="C969" s="1126"/>
      <c r="D969" s="1126"/>
      <c r="E969" s="1126"/>
      <c r="F969" s="1126"/>
      <c r="G969" s="1126"/>
      <c r="H969" s="1126"/>
      <c r="I969" s="1126"/>
      <c r="J969" s="1126"/>
      <c r="K969" s="1126"/>
      <c r="L969" s="1126"/>
      <c r="M969" s="1126"/>
      <c r="N969" s="1126"/>
      <c r="O969" s="1126"/>
      <c r="P969" s="1126"/>
      <c r="Q969" s="1126"/>
      <c r="R969" s="1126"/>
      <c r="S969" s="1126"/>
      <c r="T969" s="1126"/>
      <c r="U969" s="1126"/>
      <c r="V969" s="1126"/>
      <c r="W969" s="1126"/>
      <c r="X969" s="1126"/>
      <c r="Y969" s="1126"/>
      <c r="Z969" s="1126"/>
      <c r="AA969" s="1126"/>
    </row>
    <row r="970" ht="15.75" customHeight="1">
      <c r="A970" s="1126"/>
      <c r="B970" s="1126"/>
      <c r="C970" s="1126"/>
      <c r="D970" s="1126"/>
      <c r="E970" s="1126"/>
      <c r="F970" s="1126"/>
      <c r="G970" s="1126"/>
      <c r="H970" s="1126"/>
      <c r="I970" s="1126"/>
      <c r="J970" s="1126"/>
      <c r="K970" s="1126"/>
      <c r="L970" s="1126"/>
      <c r="M970" s="1126"/>
      <c r="N970" s="1126"/>
      <c r="O970" s="1126"/>
      <c r="P970" s="1126"/>
      <c r="Q970" s="1126"/>
      <c r="R970" s="1126"/>
      <c r="S970" s="1126"/>
      <c r="T970" s="1126"/>
      <c r="U970" s="1126"/>
      <c r="V970" s="1126"/>
      <c r="W970" s="1126"/>
      <c r="X970" s="1126"/>
      <c r="Y970" s="1126"/>
      <c r="Z970" s="1126"/>
      <c r="AA970" s="1126"/>
    </row>
    <row r="971" ht="15.75" customHeight="1">
      <c r="A971" s="1126"/>
      <c r="B971" s="1126"/>
      <c r="C971" s="1126"/>
      <c r="D971" s="1126"/>
      <c r="E971" s="1126"/>
      <c r="F971" s="1126"/>
      <c r="G971" s="1126"/>
      <c r="H971" s="1126"/>
      <c r="I971" s="1126"/>
      <c r="J971" s="1126"/>
      <c r="K971" s="1126"/>
      <c r="L971" s="1126"/>
      <c r="M971" s="1126"/>
      <c r="N971" s="1126"/>
      <c r="O971" s="1126"/>
      <c r="P971" s="1126"/>
      <c r="Q971" s="1126"/>
      <c r="R971" s="1126"/>
      <c r="S971" s="1126"/>
      <c r="T971" s="1126"/>
      <c r="U971" s="1126"/>
      <c r="V971" s="1126"/>
      <c r="W971" s="1126"/>
      <c r="X971" s="1126"/>
      <c r="Y971" s="1126"/>
      <c r="Z971" s="1126"/>
      <c r="AA971" s="1126"/>
    </row>
    <row r="972" ht="15.75" customHeight="1">
      <c r="A972" s="1126"/>
      <c r="B972" s="1126"/>
      <c r="C972" s="1126"/>
      <c r="D972" s="1126"/>
      <c r="E972" s="1126"/>
      <c r="F972" s="1126"/>
      <c r="G972" s="1126"/>
      <c r="H972" s="1126"/>
      <c r="I972" s="1126"/>
      <c r="J972" s="1126"/>
      <c r="K972" s="1126"/>
      <c r="L972" s="1126"/>
      <c r="M972" s="1126"/>
      <c r="N972" s="1126"/>
      <c r="O972" s="1126"/>
      <c r="P972" s="1126"/>
      <c r="Q972" s="1126"/>
      <c r="R972" s="1126"/>
      <c r="S972" s="1126"/>
      <c r="T972" s="1126"/>
      <c r="U972" s="1126"/>
      <c r="V972" s="1126"/>
      <c r="W972" s="1126"/>
      <c r="X972" s="1126"/>
      <c r="Y972" s="1126"/>
      <c r="Z972" s="1126"/>
      <c r="AA972" s="1126"/>
    </row>
    <row r="973" ht="15.75" customHeight="1">
      <c r="A973" s="1126"/>
      <c r="B973" s="1126"/>
      <c r="C973" s="1126"/>
      <c r="D973" s="1126"/>
      <c r="E973" s="1126"/>
      <c r="F973" s="1126"/>
      <c r="G973" s="1126"/>
      <c r="H973" s="1126"/>
      <c r="I973" s="1126"/>
      <c r="J973" s="1126"/>
      <c r="K973" s="1126"/>
      <c r="L973" s="1126"/>
      <c r="M973" s="1126"/>
      <c r="N973" s="1126"/>
      <c r="O973" s="1126"/>
      <c r="P973" s="1126"/>
      <c r="Q973" s="1126"/>
      <c r="R973" s="1126"/>
      <c r="S973" s="1126"/>
      <c r="T973" s="1126"/>
      <c r="U973" s="1126"/>
      <c r="V973" s="1126"/>
      <c r="W973" s="1126"/>
      <c r="X973" s="1126"/>
      <c r="Y973" s="1126"/>
      <c r="Z973" s="1126"/>
      <c r="AA973" s="1126"/>
    </row>
    <row r="974" ht="15.75" customHeight="1">
      <c r="A974" s="1126"/>
      <c r="B974" s="1126"/>
      <c r="C974" s="1126"/>
      <c r="D974" s="1126"/>
      <c r="E974" s="1126"/>
      <c r="F974" s="1126"/>
      <c r="G974" s="1126"/>
      <c r="H974" s="1126"/>
      <c r="I974" s="1126"/>
      <c r="J974" s="1126"/>
      <c r="K974" s="1126"/>
      <c r="L974" s="1126"/>
      <c r="M974" s="1126"/>
      <c r="N974" s="1126"/>
      <c r="O974" s="1126"/>
      <c r="P974" s="1126"/>
      <c r="Q974" s="1126"/>
      <c r="R974" s="1126"/>
      <c r="S974" s="1126"/>
      <c r="T974" s="1126"/>
      <c r="U974" s="1126"/>
      <c r="V974" s="1126"/>
      <c r="W974" s="1126"/>
      <c r="X974" s="1126"/>
      <c r="Y974" s="1126"/>
      <c r="Z974" s="1126"/>
      <c r="AA974" s="1126"/>
    </row>
    <row r="975" ht="15.75" customHeight="1">
      <c r="A975" s="1126"/>
      <c r="B975" s="1126"/>
      <c r="C975" s="1126"/>
      <c r="D975" s="1126"/>
      <c r="E975" s="1126"/>
      <c r="F975" s="1126"/>
      <c r="G975" s="1126"/>
      <c r="H975" s="1126"/>
      <c r="I975" s="1126"/>
      <c r="J975" s="1126"/>
      <c r="K975" s="1126"/>
      <c r="L975" s="1126"/>
      <c r="M975" s="1126"/>
      <c r="N975" s="1126"/>
      <c r="O975" s="1126"/>
      <c r="P975" s="1126"/>
      <c r="Q975" s="1126"/>
      <c r="R975" s="1126"/>
      <c r="S975" s="1126"/>
      <c r="T975" s="1126"/>
      <c r="U975" s="1126"/>
      <c r="V975" s="1126"/>
      <c r="W975" s="1126"/>
      <c r="X975" s="1126"/>
      <c r="Y975" s="1126"/>
      <c r="Z975" s="1126"/>
      <c r="AA975" s="1126"/>
    </row>
    <row r="976" ht="15.75" customHeight="1">
      <c r="A976" s="1126"/>
      <c r="B976" s="1126"/>
      <c r="C976" s="1126"/>
      <c r="D976" s="1126"/>
      <c r="E976" s="1126"/>
      <c r="F976" s="1126"/>
      <c r="G976" s="1126"/>
      <c r="H976" s="1126"/>
      <c r="I976" s="1126"/>
      <c r="J976" s="1126"/>
      <c r="K976" s="1126"/>
      <c r="L976" s="1126"/>
      <c r="M976" s="1126"/>
      <c r="N976" s="1126"/>
      <c r="O976" s="1126"/>
      <c r="P976" s="1126"/>
      <c r="Q976" s="1126"/>
      <c r="R976" s="1126"/>
      <c r="S976" s="1126"/>
      <c r="T976" s="1126"/>
      <c r="U976" s="1126"/>
      <c r="V976" s="1126"/>
      <c r="W976" s="1126"/>
      <c r="X976" s="1126"/>
      <c r="Y976" s="1126"/>
      <c r="Z976" s="1126"/>
      <c r="AA976" s="1126"/>
    </row>
    <row r="977" ht="15.75" customHeight="1">
      <c r="A977" s="1126"/>
      <c r="B977" s="1126"/>
      <c r="C977" s="1126"/>
      <c r="D977" s="1126"/>
      <c r="E977" s="1126"/>
      <c r="F977" s="1126"/>
      <c r="G977" s="1126"/>
      <c r="H977" s="1126"/>
      <c r="I977" s="1126"/>
      <c r="J977" s="1126"/>
      <c r="K977" s="1126"/>
      <c r="L977" s="1126"/>
      <c r="M977" s="1126"/>
      <c r="N977" s="1126"/>
      <c r="O977" s="1126"/>
      <c r="P977" s="1126"/>
      <c r="Q977" s="1126"/>
      <c r="R977" s="1126"/>
      <c r="S977" s="1126"/>
      <c r="T977" s="1126"/>
      <c r="U977" s="1126"/>
      <c r="V977" s="1126"/>
      <c r="W977" s="1126"/>
      <c r="X977" s="1126"/>
      <c r="Y977" s="1126"/>
      <c r="Z977" s="1126"/>
      <c r="AA977" s="1126"/>
    </row>
    <row r="978" ht="15.75" customHeight="1">
      <c r="A978" s="1126"/>
      <c r="B978" s="1126"/>
      <c r="C978" s="1126"/>
      <c r="D978" s="1126"/>
      <c r="E978" s="1126"/>
      <c r="F978" s="1126"/>
      <c r="G978" s="1126"/>
      <c r="H978" s="1126"/>
      <c r="I978" s="1126"/>
      <c r="J978" s="1126"/>
      <c r="K978" s="1126"/>
      <c r="L978" s="1126"/>
      <c r="M978" s="1126"/>
      <c r="N978" s="1126"/>
      <c r="O978" s="1126"/>
      <c r="P978" s="1126"/>
      <c r="Q978" s="1126"/>
      <c r="R978" s="1126"/>
      <c r="S978" s="1126"/>
      <c r="T978" s="1126"/>
      <c r="U978" s="1126"/>
      <c r="V978" s="1126"/>
      <c r="W978" s="1126"/>
      <c r="X978" s="1126"/>
      <c r="Y978" s="1126"/>
      <c r="Z978" s="1126"/>
      <c r="AA978" s="1126"/>
    </row>
    <row r="979" ht="15.75" customHeight="1">
      <c r="A979" s="1126"/>
      <c r="B979" s="1126"/>
      <c r="C979" s="1126"/>
      <c r="D979" s="1126"/>
      <c r="E979" s="1126"/>
      <c r="F979" s="1126"/>
      <c r="G979" s="1126"/>
      <c r="H979" s="1126"/>
      <c r="I979" s="1126"/>
      <c r="J979" s="1126"/>
      <c r="K979" s="1126"/>
      <c r="L979" s="1126"/>
      <c r="M979" s="1126"/>
      <c r="N979" s="1126"/>
      <c r="O979" s="1126"/>
      <c r="P979" s="1126"/>
      <c r="Q979" s="1126"/>
      <c r="R979" s="1126"/>
      <c r="S979" s="1126"/>
      <c r="T979" s="1126"/>
      <c r="U979" s="1126"/>
      <c r="V979" s="1126"/>
      <c r="W979" s="1126"/>
      <c r="X979" s="1126"/>
      <c r="Y979" s="1126"/>
      <c r="Z979" s="1126"/>
      <c r="AA979" s="1126"/>
    </row>
    <row r="980" ht="15.75" customHeight="1">
      <c r="A980" s="1126"/>
      <c r="B980" s="1126"/>
      <c r="C980" s="1126"/>
      <c r="D980" s="1126"/>
      <c r="E980" s="1126"/>
      <c r="F980" s="1126"/>
      <c r="G980" s="1126"/>
      <c r="H980" s="1126"/>
      <c r="I980" s="1126"/>
      <c r="J980" s="1126"/>
      <c r="K980" s="1126"/>
      <c r="L980" s="1126"/>
      <c r="M980" s="1126"/>
      <c r="N980" s="1126"/>
      <c r="O980" s="1126"/>
      <c r="P980" s="1126"/>
      <c r="Q980" s="1126"/>
      <c r="R980" s="1126"/>
      <c r="S980" s="1126"/>
      <c r="T980" s="1126"/>
      <c r="U980" s="1126"/>
      <c r="V980" s="1126"/>
      <c r="W980" s="1126"/>
      <c r="X980" s="1126"/>
      <c r="Y980" s="1126"/>
      <c r="Z980" s="1126"/>
      <c r="AA980" s="1126"/>
    </row>
    <row r="981" ht="15.75" customHeight="1">
      <c r="A981" s="1126"/>
      <c r="B981" s="1126"/>
      <c r="C981" s="1126"/>
      <c r="D981" s="1126"/>
      <c r="E981" s="1126"/>
      <c r="F981" s="1126"/>
      <c r="G981" s="1126"/>
      <c r="H981" s="1126"/>
      <c r="I981" s="1126"/>
      <c r="J981" s="1126"/>
      <c r="K981" s="1126"/>
      <c r="L981" s="1126"/>
      <c r="M981" s="1126"/>
      <c r="N981" s="1126"/>
      <c r="O981" s="1126"/>
      <c r="P981" s="1126"/>
      <c r="Q981" s="1126"/>
      <c r="R981" s="1126"/>
      <c r="S981" s="1126"/>
      <c r="T981" s="1126"/>
      <c r="U981" s="1126"/>
      <c r="V981" s="1126"/>
      <c r="W981" s="1126"/>
      <c r="X981" s="1126"/>
      <c r="Y981" s="1126"/>
      <c r="Z981" s="1126"/>
      <c r="AA981" s="1126"/>
    </row>
    <row r="982" ht="15.75" customHeight="1">
      <c r="A982" s="1126"/>
      <c r="B982" s="1126"/>
      <c r="C982" s="1126"/>
      <c r="D982" s="1126"/>
      <c r="E982" s="1126"/>
      <c r="F982" s="1126"/>
      <c r="G982" s="1126"/>
      <c r="H982" s="1126"/>
      <c r="I982" s="1126"/>
      <c r="J982" s="1126"/>
      <c r="K982" s="1126"/>
      <c r="L982" s="1126"/>
      <c r="M982" s="1126"/>
      <c r="N982" s="1126"/>
      <c r="O982" s="1126"/>
      <c r="P982" s="1126"/>
      <c r="Q982" s="1126"/>
      <c r="R982" s="1126"/>
      <c r="S982" s="1126"/>
      <c r="T982" s="1126"/>
      <c r="U982" s="1126"/>
      <c r="V982" s="1126"/>
      <c r="W982" s="1126"/>
      <c r="X982" s="1126"/>
      <c r="Y982" s="1126"/>
      <c r="Z982" s="1126"/>
      <c r="AA982" s="1126"/>
    </row>
    <row r="983" ht="15.75" customHeight="1">
      <c r="A983" s="1126"/>
      <c r="B983" s="1126"/>
      <c r="C983" s="1126"/>
      <c r="D983" s="1126"/>
      <c r="E983" s="1126"/>
      <c r="F983" s="1126"/>
      <c r="G983" s="1126"/>
      <c r="H983" s="1126"/>
      <c r="I983" s="1126"/>
      <c r="J983" s="1126"/>
      <c r="K983" s="1126"/>
      <c r="L983" s="1126"/>
      <c r="M983" s="1126"/>
      <c r="N983" s="1126"/>
      <c r="O983" s="1126"/>
      <c r="P983" s="1126"/>
      <c r="Q983" s="1126"/>
      <c r="R983" s="1126"/>
      <c r="S983" s="1126"/>
      <c r="T983" s="1126"/>
      <c r="U983" s="1126"/>
      <c r="V983" s="1126"/>
      <c r="W983" s="1126"/>
      <c r="X983" s="1126"/>
      <c r="Y983" s="1126"/>
      <c r="Z983" s="1126"/>
      <c r="AA983" s="1126"/>
    </row>
    <row r="984" ht="15.75" customHeight="1">
      <c r="A984" s="1126"/>
      <c r="B984" s="1126"/>
      <c r="C984" s="1126"/>
      <c r="D984" s="1126"/>
      <c r="E984" s="1126"/>
      <c r="F984" s="1126"/>
      <c r="G984" s="1126"/>
      <c r="H984" s="1126"/>
      <c r="I984" s="1126"/>
      <c r="J984" s="1126"/>
      <c r="K984" s="1126"/>
      <c r="L984" s="1126"/>
      <c r="M984" s="1126"/>
      <c r="N984" s="1126"/>
      <c r="O984" s="1126"/>
      <c r="P984" s="1126"/>
      <c r="Q984" s="1126"/>
      <c r="R984" s="1126"/>
      <c r="S984" s="1126"/>
      <c r="T984" s="1126"/>
      <c r="U984" s="1126"/>
      <c r="V984" s="1126"/>
      <c r="W984" s="1126"/>
      <c r="X984" s="1126"/>
      <c r="Y984" s="1126"/>
      <c r="Z984" s="1126"/>
      <c r="AA984" s="1126"/>
    </row>
    <row r="985" ht="15.75" customHeight="1">
      <c r="A985" s="1126"/>
      <c r="B985" s="1126"/>
      <c r="C985" s="1126"/>
      <c r="D985" s="1126"/>
      <c r="E985" s="1126"/>
      <c r="F985" s="1126"/>
      <c r="G985" s="1126"/>
      <c r="H985" s="1126"/>
      <c r="I985" s="1126"/>
      <c r="J985" s="1126"/>
      <c r="K985" s="1126"/>
      <c r="L985" s="1126"/>
      <c r="M985" s="1126"/>
      <c r="N985" s="1126"/>
      <c r="O985" s="1126"/>
      <c r="P985" s="1126"/>
      <c r="Q985" s="1126"/>
      <c r="R985" s="1126"/>
      <c r="S985" s="1126"/>
      <c r="T985" s="1126"/>
      <c r="U985" s="1126"/>
      <c r="V985" s="1126"/>
      <c r="W985" s="1126"/>
      <c r="X985" s="1126"/>
      <c r="Y985" s="1126"/>
      <c r="Z985" s="1126"/>
      <c r="AA985" s="1126"/>
    </row>
    <row r="986" ht="15.75" customHeight="1">
      <c r="A986" s="1126"/>
      <c r="B986" s="1126"/>
      <c r="C986" s="1126"/>
      <c r="D986" s="1126"/>
      <c r="E986" s="1126"/>
      <c r="F986" s="1126"/>
      <c r="G986" s="1126"/>
      <c r="H986" s="1126"/>
      <c r="I986" s="1126"/>
      <c r="J986" s="1126"/>
      <c r="K986" s="1126"/>
      <c r="L986" s="1126"/>
      <c r="M986" s="1126"/>
      <c r="N986" s="1126"/>
      <c r="O986" s="1126"/>
      <c r="P986" s="1126"/>
      <c r="Q986" s="1126"/>
      <c r="R986" s="1126"/>
      <c r="S986" s="1126"/>
      <c r="T986" s="1126"/>
      <c r="U986" s="1126"/>
      <c r="V986" s="1126"/>
      <c r="W986" s="1126"/>
      <c r="X986" s="1126"/>
      <c r="Y986" s="1126"/>
      <c r="Z986" s="1126"/>
      <c r="AA986" s="1126"/>
    </row>
    <row r="987" ht="15.75" customHeight="1">
      <c r="A987" s="1126"/>
      <c r="B987" s="1126"/>
      <c r="C987" s="1126"/>
      <c r="D987" s="1126"/>
      <c r="E987" s="1126"/>
      <c r="F987" s="1126"/>
      <c r="G987" s="1126"/>
      <c r="H987" s="1126"/>
      <c r="I987" s="1126"/>
      <c r="J987" s="1126"/>
      <c r="K987" s="1126"/>
      <c r="L987" s="1126"/>
      <c r="M987" s="1126"/>
      <c r="N987" s="1126"/>
      <c r="O987" s="1126"/>
      <c r="P987" s="1126"/>
      <c r="Q987" s="1126"/>
      <c r="R987" s="1126"/>
      <c r="S987" s="1126"/>
      <c r="T987" s="1126"/>
      <c r="U987" s="1126"/>
      <c r="V987" s="1126"/>
      <c r="W987" s="1126"/>
      <c r="X987" s="1126"/>
      <c r="Y987" s="1126"/>
      <c r="Z987" s="1126"/>
      <c r="AA987" s="1126"/>
    </row>
    <row r="988" ht="15.75" customHeight="1">
      <c r="A988" s="1126"/>
      <c r="B988" s="1126"/>
      <c r="C988" s="1126"/>
      <c r="D988" s="1126"/>
      <c r="E988" s="1126"/>
      <c r="F988" s="1126"/>
      <c r="G988" s="1126"/>
      <c r="H988" s="1126"/>
      <c r="I988" s="1126"/>
      <c r="J988" s="1126"/>
      <c r="K988" s="1126"/>
      <c r="L988" s="1126"/>
      <c r="M988" s="1126"/>
      <c r="N988" s="1126"/>
      <c r="O988" s="1126"/>
      <c r="P988" s="1126"/>
      <c r="Q988" s="1126"/>
      <c r="R988" s="1126"/>
      <c r="S988" s="1126"/>
      <c r="T988" s="1126"/>
      <c r="U988" s="1126"/>
      <c r="V988" s="1126"/>
      <c r="W988" s="1126"/>
      <c r="X988" s="1126"/>
      <c r="Y988" s="1126"/>
      <c r="Z988" s="1126"/>
      <c r="AA988" s="1126"/>
    </row>
    <row r="989" ht="15.75" customHeight="1">
      <c r="A989" s="1126"/>
      <c r="B989" s="1126"/>
      <c r="C989" s="1126"/>
      <c r="D989" s="1126"/>
      <c r="E989" s="1126"/>
      <c r="F989" s="1126"/>
      <c r="G989" s="1126"/>
      <c r="H989" s="1126"/>
      <c r="I989" s="1126"/>
      <c r="J989" s="1126"/>
      <c r="K989" s="1126"/>
      <c r="L989" s="1126"/>
      <c r="M989" s="1126"/>
      <c r="N989" s="1126"/>
      <c r="O989" s="1126"/>
      <c r="P989" s="1126"/>
      <c r="Q989" s="1126"/>
      <c r="R989" s="1126"/>
      <c r="S989" s="1126"/>
      <c r="T989" s="1126"/>
      <c r="U989" s="1126"/>
      <c r="V989" s="1126"/>
      <c r="W989" s="1126"/>
      <c r="X989" s="1126"/>
      <c r="Y989" s="1126"/>
      <c r="Z989" s="1126"/>
      <c r="AA989" s="1126"/>
    </row>
    <row r="990" ht="15.75" customHeight="1">
      <c r="A990" s="1126"/>
      <c r="B990" s="1126"/>
      <c r="C990" s="1126"/>
      <c r="D990" s="1126"/>
      <c r="E990" s="1126"/>
      <c r="F990" s="1126"/>
      <c r="G990" s="1126"/>
      <c r="H990" s="1126"/>
      <c r="I990" s="1126"/>
      <c r="J990" s="1126"/>
      <c r="K990" s="1126"/>
      <c r="L990" s="1126"/>
      <c r="M990" s="1126"/>
      <c r="N990" s="1126"/>
      <c r="O990" s="1126"/>
      <c r="P990" s="1126"/>
      <c r="Q990" s="1126"/>
      <c r="R990" s="1126"/>
      <c r="S990" s="1126"/>
      <c r="T990" s="1126"/>
      <c r="U990" s="1126"/>
      <c r="V990" s="1126"/>
      <c r="W990" s="1126"/>
      <c r="X990" s="1126"/>
      <c r="Y990" s="1126"/>
      <c r="Z990" s="1126"/>
      <c r="AA990" s="1126"/>
    </row>
    <row r="991" ht="15.75" customHeight="1">
      <c r="A991" s="1126"/>
      <c r="B991" s="1126"/>
      <c r="C991" s="1126"/>
      <c r="D991" s="1126"/>
      <c r="E991" s="1126"/>
      <c r="F991" s="1126"/>
      <c r="G991" s="1126"/>
      <c r="H991" s="1126"/>
      <c r="I991" s="1126"/>
      <c r="J991" s="1126"/>
      <c r="K991" s="1126"/>
      <c r="L991" s="1126"/>
      <c r="M991" s="1126"/>
      <c r="N991" s="1126"/>
      <c r="O991" s="1126"/>
      <c r="P991" s="1126"/>
      <c r="Q991" s="1126"/>
      <c r="R991" s="1126"/>
      <c r="S991" s="1126"/>
      <c r="T991" s="1126"/>
      <c r="U991" s="1126"/>
      <c r="V991" s="1126"/>
      <c r="W991" s="1126"/>
      <c r="X991" s="1126"/>
      <c r="Y991" s="1126"/>
      <c r="Z991" s="1126"/>
      <c r="AA991" s="1126"/>
    </row>
    <row r="992" ht="15.75" customHeight="1">
      <c r="A992" s="1126"/>
      <c r="B992" s="1126"/>
      <c r="C992" s="1126"/>
      <c r="D992" s="1126"/>
      <c r="E992" s="1126"/>
      <c r="F992" s="1126"/>
      <c r="G992" s="1126"/>
      <c r="H992" s="1126"/>
      <c r="I992" s="1126"/>
      <c r="J992" s="1126"/>
      <c r="K992" s="1126"/>
      <c r="L992" s="1126"/>
      <c r="M992" s="1126"/>
      <c r="N992" s="1126"/>
      <c r="O992" s="1126"/>
      <c r="P992" s="1126"/>
      <c r="Q992" s="1126"/>
      <c r="R992" s="1126"/>
      <c r="S992" s="1126"/>
      <c r="T992" s="1126"/>
      <c r="U992" s="1126"/>
      <c r="V992" s="1126"/>
      <c r="W992" s="1126"/>
      <c r="X992" s="1126"/>
      <c r="Y992" s="1126"/>
      <c r="Z992" s="1126"/>
      <c r="AA992" s="1126"/>
    </row>
    <row r="993" ht="15.75" customHeight="1">
      <c r="A993" s="1126"/>
      <c r="B993" s="1126"/>
      <c r="C993" s="1126"/>
      <c r="D993" s="1126"/>
      <c r="E993" s="1126"/>
      <c r="F993" s="1126"/>
      <c r="G993" s="1126"/>
      <c r="H993" s="1126"/>
      <c r="I993" s="1126"/>
      <c r="J993" s="1126"/>
      <c r="K993" s="1126"/>
      <c r="L993" s="1126"/>
      <c r="M993" s="1126"/>
      <c r="N993" s="1126"/>
      <c r="O993" s="1126"/>
      <c r="P993" s="1126"/>
      <c r="Q993" s="1126"/>
      <c r="R993" s="1126"/>
      <c r="S993" s="1126"/>
      <c r="T993" s="1126"/>
      <c r="U993" s="1126"/>
      <c r="V993" s="1126"/>
      <c r="W993" s="1126"/>
      <c r="X993" s="1126"/>
      <c r="Y993" s="1126"/>
      <c r="Z993" s="1126"/>
      <c r="AA993" s="1126"/>
    </row>
    <row r="994" ht="15.75" customHeight="1">
      <c r="A994" s="1126"/>
      <c r="B994" s="1126"/>
      <c r="C994" s="1126"/>
      <c r="D994" s="1126"/>
      <c r="E994" s="1126"/>
      <c r="F994" s="1126"/>
      <c r="G994" s="1126"/>
      <c r="H994" s="1126"/>
      <c r="I994" s="1126"/>
      <c r="J994" s="1126"/>
      <c r="K994" s="1126"/>
      <c r="L994" s="1126"/>
      <c r="M994" s="1126"/>
      <c r="N994" s="1126"/>
      <c r="O994" s="1126"/>
      <c r="P994" s="1126"/>
      <c r="Q994" s="1126"/>
      <c r="R994" s="1126"/>
      <c r="S994" s="1126"/>
      <c r="T994" s="1126"/>
      <c r="U994" s="1126"/>
      <c r="V994" s="1126"/>
      <c r="W994" s="1126"/>
      <c r="X994" s="1126"/>
      <c r="Y994" s="1126"/>
      <c r="Z994" s="1126"/>
      <c r="AA994" s="1126"/>
    </row>
    <row r="995" ht="15.75" customHeight="1">
      <c r="A995" s="1126"/>
      <c r="B995" s="1126"/>
      <c r="C995" s="1126"/>
      <c r="D995" s="1126"/>
      <c r="E995" s="1126"/>
      <c r="F995" s="1126"/>
      <c r="G995" s="1126"/>
      <c r="H995" s="1126"/>
      <c r="I995" s="1126"/>
      <c r="J995" s="1126"/>
      <c r="K995" s="1126"/>
      <c r="L995" s="1126"/>
      <c r="M995" s="1126"/>
      <c r="N995" s="1126"/>
      <c r="O995" s="1126"/>
      <c r="P995" s="1126"/>
      <c r="Q995" s="1126"/>
      <c r="R995" s="1126"/>
      <c r="S995" s="1126"/>
      <c r="T995" s="1126"/>
      <c r="U995" s="1126"/>
      <c r="V995" s="1126"/>
      <c r="W995" s="1126"/>
      <c r="X995" s="1126"/>
      <c r="Y995" s="1126"/>
      <c r="Z995" s="1126"/>
      <c r="AA995" s="1126"/>
    </row>
    <row r="996" ht="15.75" customHeight="1">
      <c r="A996" s="1126"/>
      <c r="B996" s="1126"/>
      <c r="C996" s="1126"/>
      <c r="D996" s="1126"/>
      <c r="E996" s="1126"/>
      <c r="F996" s="1126"/>
      <c r="G996" s="1126"/>
      <c r="H996" s="1126"/>
      <c r="I996" s="1126"/>
      <c r="J996" s="1126"/>
      <c r="K996" s="1126"/>
      <c r="L996" s="1126"/>
      <c r="M996" s="1126"/>
      <c r="N996" s="1126"/>
      <c r="O996" s="1126"/>
      <c r="P996" s="1126"/>
      <c r="Q996" s="1126"/>
      <c r="R996" s="1126"/>
      <c r="S996" s="1126"/>
      <c r="T996" s="1126"/>
      <c r="U996" s="1126"/>
      <c r="V996" s="1126"/>
      <c r="W996" s="1126"/>
      <c r="X996" s="1126"/>
      <c r="Y996" s="1126"/>
      <c r="Z996" s="1126"/>
      <c r="AA996" s="1126"/>
    </row>
    <row r="997" ht="15.75" customHeight="1">
      <c r="A997" s="1126"/>
      <c r="B997" s="1126"/>
      <c r="C997" s="1126"/>
      <c r="D997" s="1126"/>
      <c r="E997" s="1126"/>
      <c r="F997" s="1126"/>
      <c r="G997" s="1126"/>
      <c r="H997" s="1126"/>
      <c r="I997" s="1126"/>
      <c r="J997" s="1126"/>
      <c r="K997" s="1126"/>
      <c r="L997" s="1126"/>
      <c r="M997" s="1126"/>
      <c r="N997" s="1126"/>
      <c r="O997" s="1126"/>
      <c r="P997" s="1126"/>
      <c r="Q997" s="1126"/>
      <c r="R997" s="1126"/>
      <c r="S997" s="1126"/>
      <c r="T997" s="1126"/>
      <c r="U997" s="1126"/>
      <c r="V997" s="1126"/>
      <c r="W997" s="1126"/>
      <c r="X997" s="1126"/>
      <c r="Y997" s="1126"/>
      <c r="Z997" s="1126"/>
      <c r="AA997" s="1126"/>
    </row>
    <row r="998" ht="15.75" customHeight="1">
      <c r="A998" s="1126"/>
      <c r="B998" s="1126"/>
      <c r="C998" s="1126"/>
      <c r="D998" s="1126"/>
      <c r="E998" s="1126"/>
      <c r="F998" s="1126"/>
      <c r="G998" s="1126"/>
      <c r="H998" s="1126"/>
      <c r="I998" s="1126"/>
      <c r="J998" s="1126"/>
      <c r="K998" s="1126"/>
      <c r="L998" s="1126"/>
      <c r="M998" s="1126"/>
      <c r="N998" s="1126"/>
      <c r="O998" s="1126"/>
      <c r="P998" s="1126"/>
      <c r="Q998" s="1126"/>
      <c r="R998" s="1126"/>
      <c r="S998" s="1126"/>
      <c r="T998" s="1126"/>
      <c r="U998" s="1126"/>
      <c r="V998" s="1126"/>
      <c r="W998" s="1126"/>
      <c r="X998" s="1126"/>
      <c r="Y998" s="1126"/>
      <c r="Z998" s="1126"/>
      <c r="AA998" s="1126"/>
    </row>
    <row r="999" ht="15.75" customHeight="1">
      <c r="A999" s="1126"/>
      <c r="B999" s="1126"/>
      <c r="C999" s="1126"/>
      <c r="D999" s="1126"/>
      <c r="E999" s="1126"/>
      <c r="F999" s="1126"/>
      <c r="G999" s="1126"/>
      <c r="H999" s="1126"/>
      <c r="I999" s="1126"/>
      <c r="J999" s="1126"/>
      <c r="K999" s="1126"/>
      <c r="L999" s="1126"/>
      <c r="M999" s="1126"/>
      <c r="N999" s="1126"/>
      <c r="O999" s="1126"/>
      <c r="P999" s="1126"/>
      <c r="Q999" s="1126"/>
      <c r="R999" s="1126"/>
      <c r="S999" s="1126"/>
      <c r="T999" s="1126"/>
      <c r="U999" s="1126"/>
      <c r="V999" s="1126"/>
      <c r="W999" s="1126"/>
      <c r="X999" s="1126"/>
      <c r="Y999" s="1126"/>
      <c r="Z999" s="1126"/>
      <c r="AA999" s="1126"/>
    </row>
    <row r="1000" ht="15.75" customHeight="1">
      <c r="A1000" s="1126"/>
      <c r="B1000" s="1126"/>
      <c r="C1000" s="1126"/>
      <c r="D1000" s="1126"/>
      <c r="E1000" s="1126"/>
      <c r="F1000" s="1126"/>
      <c r="G1000" s="1126"/>
      <c r="H1000" s="1126"/>
      <c r="I1000" s="1126"/>
      <c r="J1000" s="1126"/>
      <c r="K1000" s="1126"/>
      <c r="L1000" s="1126"/>
      <c r="M1000" s="1126"/>
      <c r="N1000" s="1126"/>
      <c r="O1000" s="1126"/>
      <c r="P1000" s="1126"/>
      <c r="Q1000" s="1126"/>
      <c r="R1000" s="1126"/>
      <c r="S1000" s="1126"/>
      <c r="T1000" s="1126"/>
      <c r="U1000" s="1126"/>
      <c r="V1000" s="1126"/>
      <c r="W1000" s="1126"/>
      <c r="X1000" s="1126"/>
      <c r="Y1000" s="1126"/>
      <c r="Z1000" s="1126"/>
      <c r="AA1000" s="1126"/>
    </row>
    <row r="1001" ht="15.75" customHeight="1">
      <c r="A1001" s="1126"/>
      <c r="B1001" s="1126"/>
      <c r="C1001" s="1126"/>
      <c r="D1001" s="1126"/>
      <c r="E1001" s="1126"/>
      <c r="F1001" s="1126"/>
      <c r="G1001" s="1126"/>
      <c r="H1001" s="1126"/>
      <c r="I1001" s="1126"/>
      <c r="J1001" s="1126"/>
      <c r="K1001" s="1126"/>
      <c r="L1001" s="1126"/>
      <c r="M1001" s="1126"/>
      <c r="N1001" s="1126"/>
      <c r="O1001" s="1126"/>
      <c r="P1001" s="1126"/>
      <c r="Q1001" s="1126"/>
      <c r="R1001" s="1126"/>
      <c r="S1001" s="1126"/>
      <c r="T1001" s="1126"/>
      <c r="U1001" s="1126"/>
      <c r="V1001" s="1126"/>
      <c r="W1001" s="1126"/>
      <c r="X1001" s="1126"/>
      <c r="Y1001" s="1126"/>
      <c r="Z1001" s="1126"/>
      <c r="AA1001" s="1126"/>
    </row>
    <row r="1002" ht="15.75" customHeight="1">
      <c r="A1002" s="1126"/>
      <c r="B1002" s="1126"/>
      <c r="C1002" s="1126"/>
      <c r="D1002" s="1126"/>
      <c r="E1002" s="1126"/>
      <c r="F1002" s="1126"/>
      <c r="G1002" s="1126"/>
      <c r="H1002" s="1126"/>
      <c r="I1002" s="1126"/>
      <c r="J1002" s="1126"/>
      <c r="K1002" s="1126"/>
      <c r="L1002" s="1126"/>
      <c r="M1002" s="1126"/>
      <c r="N1002" s="1126"/>
      <c r="O1002" s="1126"/>
      <c r="P1002" s="1126"/>
      <c r="Q1002" s="1126"/>
      <c r="R1002" s="1126"/>
      <c r="S1002" s="1126"/>
      <c r="T1002" s="1126"/>
      <c r="U1002" s="1126"/>
      <c r="V1002" s="1126"/>
      <c r="W1002" s="1126"/>
      <c r="X1002" s="1126"/>
      <c r="Y1002" s="1126"/>
      <c r="Z1002" s="1126"/>
      <c r="AA1002" s="1126"/>
    </row>
    <row r="1003" ht="15.75" customHeight="1">
      <c r="A1003" s="1126"/>
      <c r="B1003" s="1126"/>
      <c r="C1003" s="1126"/>
      <c r="D1003" s="1126"/>
      <c r="E1003" s="1126"/>
      <c r="F1003" s="1126"/>
      <c r="G1003" s="1126"/>
      <c r="H1003" s="1126"/>
      <c r="I1003" s="1126"/>
      <c r="J1003" s="1126"/>
      <c r="K1003" s="1126"/>
      <c r="L1003" s="1126"/>
      <c r="M1003" s="1126"/>
      <c r="N1003" s="1126"/>
      <c r="O1003" s="1126"/>
      <c r="P1003" s="1126"/>
      <c r="Q1003" s="1126"/>
      <c r="R1003" s="1126"/>
      <c r="S1003" s="1126"/>
      <c r="T1003" s="1126"/>
      <c r="U1003" s="1126"/>
      <c r="V1003" s="1126"/>
      <c r="W1003" s="1126"/>
      <c r="X1003" s="1126"/>
      <c r="Y1003" s="1126"/>
      <c r="Z1003" s="1126"/>
      <c r="AA1003" s="1126"/>
    </row>
    <row r="1004" ht="15.75" customHeight="1">
      <c r="A1004" s="1126"/>
      <c r="B1004" s="1126"/>
      <c r="C1004" s="1126"/>
      <c r="D1004" s="1126"/>
      <c r="E1004" s="1126"/>
      <c r="F1004" s="1126"/>
      <c r="G1004" s="1126"/>
      <c r="H1004" s="1126"/>
      <c r="I1004" s="1126"/>
      <c r="J1004" s="1126"/>
      <c r="K1004" s="1126"/>
      <c r="L1004" s="1126"/>
      <c r="M1004" s="1126"/>
      <c r="N1004" s="1126"/>
      <c r="O1004" s="1126"/>
      <c r="P1004" s="1126"/>
      <c r="Q1004" s="1126"/>
      <c r="R1004" s="1126"/>
      <c r="S1004" s="1126"/>
      <c r="T1004" s="1126"/>
      <c r="U1004" s="1126"/>
      <c r="V1004" s="1126"/>
      <c r="W1004" s="1126"/>
      <c r="X1004" s="1126"/>
      <c r="Y1004" s="1126"/>
      <c r="Z1004" s="1126"/>
      <c r="AA1004" s="1126"/>
    </row>
    <row r="1005" ht="15.75" customHeight="1">
      <c r="A1005" s="1126"/>
      <c r="B1005" s="1126"/>
      <c r="C1005" s="1126"/>
      <c r="D1005" s="1126"/>
      <c r="E1005" s="1126"/>
      <c r="F1005" s="1126"/>
      <c r="G1005" s="1126"/>
      <c r="H1005" s="1126"/>
      <c r="I1005" s="1126"/>
      <c r="J1005" s="1126"/>
      <c r="K1005" s="1126"/>
      <c r="L1005" s="1126"/>
      <c r="M1005" s="1126"/>
      <c r="N1005" s="1126"/>
      <c r="O1005" s="1126"/>
      <c r="P1005" s="1126"/>
      <c r="Q1005" s="1126"/>
      <c r="R1005" s="1126"/>
      <c r="S1005" s="1126"/>
      <c r="T1005" s="1126"/>
      <c r="U1005" s="1126"/>
      <c r="V1005" s="1126"/>
      <c r="W1005" s="1126"/>
      <c r="X1005" s="1126"/>
      <c r="Y1005" s="1126"/>
      <c r="Z1005" s="1126"/>
      <c r="AA1005" s="1126"/>
    </row>
    <row r="1006" ht="15.75" customHeight="1">
      <c r="A1006" s="1126"/>
      <c r="B1006" s="1126"/>
      <c r="C1006" s="1126"/>
      <c r="D1006" s="1126"/>
      <c r="E1006" s="1126"/>
      <c r="F1006" s="1126"/>
      <c r="G1006" s="1126"/>
      <c r="H1006" s="1126"/>
      <c r="I1006" s="1126"/>
      <c r="J1006" s="1126"/>
      <c r="K1006" s="1126"/>
      <c r="L1006" s="1126"/>
      <c r="M1006" s="1126"/>
      <c r="N1006" s="1126"/>
      <c r="O1006" s="1126"/>
      <c r="P1006" s="1126"/>
      <c r="Q1006" s="1126"/>
      <c r="R1006" s="1126"/>
      <c r="S1006" s="1126"/>
      <c r="T1006" s="1126"/>
      <c r="U1006" s="1126"/>
      <c r="V1006" s="1126"/>
      <c r="W1006" s="1126"/>
      <c r="X1006" s="1126"/>
      <c r="Y1006" s="1126"/>
      <c r="Z1006" s="1126"/>
      <c r="AA1006" s="1126"/>
    </row>
    <row r="1007" ht="15.75" customHeight="1">
      <c r="A1007" s="1126"/>
      <c r="B1007" s="1126"/>
      <c r="C1007" s="1126"/>
      <c r="D1007" s="1126"/>
      <c r="E1007" s="1126"/>
      <c r="F1007" s="1126"/>
      <c r="G1007" s="1126"/>
      <c r="H1007" s="1126"/>
      <c r="I1007" s="1126"/>
      <c r="J1007" s="1126"/>
      <c r="K1007" s="1126"/>
      <c r="L1007" s="1126"/>
      <c r="M1007" s="1126"/>
      <c r="N1007" s="1126"/>
      <c r="O1007" s="1126"/>
      <c r="P1007" s="1126"/>
      <c r="Q1007" s="1126"/>
      <c r="R1007" s="1126"/>
      <c r="S1007" s="1126"/>
      <c r="T1007" s="1126"/>
      <c r="U1007" s="1126"/>
      <c r="V1007" s="1126"/>
      <c r="W1007" s="1126"/>
      <c r="X1007" s="1126"/>
      <c r="Y1007" s="1126"/>
      <c r="Z1007" s="1126"/>
      <c r="AA1007" s="1126"/>
    </row>
    <row r="1008" ht="15.75" customHeight="1">
      <c r="A1008" s="1126"/>
      <c r="B1008" s="1126"/>
      <c r="C1008" s="1126"/>
      <c r="D1008" s="1126"/>
      <c r="E1008" s="1126"/>
      <c r="F1008" s="1126"/>
      <c r="G1008" s="1126"/>
      <c r="H1008" s="1126"/>
      <c r="I1008" s="1126"/>
      <c r="J1008" s="1126"/>
      <c r="K1008" s="1126"/>
      <c r="L1008" s="1126"/>
      <c r="M1008" s="1126"/>
      <c r="N1008" s="1126"/>
      <c r="O1008" s="1126"/>
      <c r="P1008" s="1126"/>
      <c r="Q1008" s="1126"/>
      <c r="R1008" s="1126"/>
      <c r="S1008" s="1126"/>
      <c r="T1008" s="1126"/>
      <c r="U1008" s="1126"/>
      <c r="V1008" s="1126"/>
      <c r="W1008" s="1126"/>
      <c r="X1008" s="1126"/>
      <c r="Y1008" s="1126"/>
      <c r="Z1008" s="1126"/>
      <c r="AA1008" s="1126"/>
    </row>
    <row r="1009" ht="15.75" customHeight="1">
      <c r="A1009" s="1126"/>
      <c r="B1009" s="1126"/>
      <c r="C1009" s="1126"/>
      <c r="D1009" s="1126"/>
      <c r="E1009" s="1126"/>
      <c r="F1009" s="1126"/>
      <c r="G1009" s="1126"/>
      <c r="H1009" s="1126"/>
      <c r="I1009" s="1126"/>
      <c r="J1009" s="1126"/>
      <c r="K1009" s="1126"/>
      <c r="L1009" s="1126"/>
      <c r="M1009" s="1126"/>
      <c r="N1009" s="1126"/>
      <c r="O1009" s="1126"/>
      <c r="P1009" s="1126"/>
      <c r="Q1009" s="1126"/>
      <c r="R1009" s="1126"/>
      <c r="S1009" s="1126"/>
      <c r="T1009" s="1126"/>
      <c r="U1009" s="1126"/>
      <c r="V1009" s="1126"/>
      <c r="W1009" s="1126"/>
      <c r="X1009" s="1126"/>
      <c r="Y1009" s="1126"/>
      <c r="Z1009" s="1126"/>
      <c r="AA1009" s="1126"/>
    </row>
    <row r="1010" ht="15.75" customHeight="1">
      <c r="A1010" s="1126"/>
      <c r="B1010" s="1126"/>
      <c r="C1010" s="1126"/>
      <c r="D1010" s="1126"/>
      <c r="E1010" s="1126"/>
      <c r="F1010" s="1126"/>
      <c r="G1010" s="1126"/>
      <c r="H1010" s="1126"/>
      <c r="I1010" s="1126"/>
      <c r="J1010" s="1126"/>
      <c r="K1010" s="1126"/>
      <c r="L1010" s="1126"/>
      <c r="M1010" s="1126"/>
      <c r="N1010" s="1126"/>
      <c r="O1010" s="1126"/>
      <c r="P1010" s="1126"/>
      <c r="Q1010" s="1126"/>
      <c r="R1010" s="1126"/>
      <c r="S1010" s="1126"/>
      <c r="T1010" s="1126"/>
      <c r="U1010" s="1126"/>
      <c r="V1010" s="1126"/>
      <c r="W1010" s="1126"/>
      <c r="X1010" s="1126"/>
      <c r="Y1010" s="1126"/>
      <c r="Z1010" s="1126"/>
      <c r="AA1010" s="1126"/>
    </row>
    <row r="1011" ht="15.75" customHeight="1">
      <c r="A1011" s="1126"/>
      <c r="B1011" s="1126"/>
      <c r="C1011" s="1126"/>
      <c r="D1011" s="1126"/>
      <c r="E1011" s="1126"/>
      <c r="F1011" s="1126"/>
      <c r="G1011" s="1126"/>
      <c r="H1011" s="1126"/>
      <c r="I1011" s="1126"/>
      <c r="J1011" s="1126"/>
      <c r="K1011" s="1126"/>
      <c r="L1011" s="1126"/>
      <c r="M1011" s="1126"/>
      <c r="N1011" s="1126"/>
      <c r="O1011" s="1126"/>
      <c r="P1011" s="1126"/>
      <c r="Q1011" s="1126"/>
      <c r="R1011" s="1126"/>
      <c r="S1011" s="1126"/>
      <c r="T1011" s="1126"/>
      <c r="U1011" s="1126"/>
      <c r="V1011" s="1126"/>
      <c r="W1011" s="1126"/>
      <c r="X1011" s="1126"/>
      <c r="Y1011" s="1126"/>
      <c r="Z1011" s="1126"/>
      <c r="AA1011" s="1126"/>
    </row>
    <row r="1012" ht="15.75" customHeight="1">
      <c r="A1012" s="1126"/>
      <c r="B1012" s="1126"/>
      <c r="C1012" s="1126"/>
      <c r="D1012" s="1126"/>
      <c r="E1012" s="1126"/>
      <c r="F1012" s="1126"/>
      <c r="G1012" s="1126"/>
      <c r="H1012" s="1126"/>
      <c r="I1012" s="1126"/>
      <c r="J1012" s="1126"/>
      <c r="K1012" s="1126"/>
      <c r="L1012" s="1126"/>
      <c r="M1012" s="1126"/>
      <c r="N1012" s="1126"/>
      <c r="O1012" s="1126"/>
      <c r="P1012" s="1126"/>
      <c r="Q1012" s="1126"/>
      <c r="R1012" s="1126"/>
      <c r="S1012" s="1126"/>
      <c r="T1012" s="1126"/>
      <c r="U1012" s="1126"/>
      <c r="V1012" s="1126"/>
      <c r="W1012" s="1126"/>
      <c r="X1012" s="1126"/>
      <c r="Y1012" s="1126"/>
      <c r="Z1012" s="1126"/>
      <c r="AA1012" s="1126"/>
    </row>
    <row r="1013" ht="15.75" customHeight="1">
      <c r="A1013" s="1126"/>
      <c r="B1013" s="1126"/>
      <c r="C1013" s="1126"/>
      <c r="D1013" s="1126"/>
      <c r="E1013" s="1126"/>
      <c r="F1013" s="1126"/>
      <c r="G1013" s="1126"/>
      <c r="H1013" s="1126"/>
      <c r="I1013" s="1126"/>
      <c r="J1013" s="1126"/>
      <c r="K1013" s="1126"/>
      <c r="L1013" s="1126"/>
      <c r="M1013" s="1126"/>
      <c r="N1013" s="1126"/>
      <c r="O1013" s="1126"/>
      <c r="P1013" s="1126"/>
      <c r="Q1013" s="1126"/>
      <c r="R1013" s="1126"/>
      <c r="S1013" s="1126"/>
      <c r="T1013" s="1126"/>
      <c r="U1013" s="1126"/>
      <c r="V1013" s="1126"/>
      <c r="W1013" s="1126"/>
      <c r="X1013" s="1126"/>
      <c r="Y1013" s="1126"/>
      <c r="Z1013" s="1126"/>
      <c r="AA1013" s="1126"/>
    </row>
    <row r="1014" ht="15.75" customHeight="1">
      <c r="A1014" s="1126"/>
      <c r="B1014" s="1126"/>
      <c r="C1014" s="1126"/>
      <c r="D1014" s="1126"/>
      <c r="E1014" s="1126"/>
      <c r="F1014" s="1126"/>
      <c r="G1014" s="1126"/>
      <c r="H1014" s="1126"/>
      <c r="I1014" s="1126"/>
      <c r="J1014" s="1126"/>
      <c r="K1014" s="1126"/>
      <c r="L1014" s="1126"/>
      <c r="M1014" s="1126"/>
      <c r="N1014" s="1126"/>
      <c r="O1014" s="1126"/>
      <c r="P1014" s="1126"/>
      <c r="Q1014" s="1126"/>
      <c r="R1014" s="1126"/>
      <c r="S1014" s="1126"/>
      <c r="T1014" s="1126"/>
      <c r="U1014" s="1126"/>
      <c r="V1014" s="1126"/>
      <c r="W1014" s="1126"/>
      <c r="X1014" s="1126"/>
      <c r="Y1014" s="1126"/>
      <c r="Z1014" s="1126"/>
      <c r="AA1014" s="1126"/>
    </row>
    <row r="1015" ht="15.75" customHeight="1">
      <c r="A1015" s="1126"/>
      <c r="B1015" s="1126"/>
      <c r="C1015" s="1126"/>
      <c r="D1015" s="1126"/>
      <c r="E1015" s="1126"/>
      <c r="F1015" s="1126"/>
      <c r="G1015" s="1126"/>
      <c r="H1015" s="1126"/>
      <c r="I1015" s="1126"/>
      <c r="J1015" s="1126"/>
      <c r="K1015" s="1126"/>
      <c r="L1015" s="1126"/>
      <c r="M1015" s="1126"/>
      <c r="N1015" s="1126"/>
      <c r="O1015" s="1126"/>
      <c r="P1015" s="1126"/>
      <c r="Q1015" s="1126"/>
      <c r="R1015" s="1126"/>
      <c r="S1015" s="1126"/>
      <c r="T1015" s="1126"/>
      <c r="U1015" s="1126"/>
      <c r="V1015" s="1126"/>
      <c r="W1015" s="1126"/>
      <c r="X1015" s="1126"/>
      <c r="Y1015" s="1126"/>
      <c r="Z1015" s="1126"/>
      <c r="AA1015" s="1126"/>
    </row>
    <row r="1016" ht="15.75" customHeight="1">
      <c r="A1016" s="1126"/>
      <c r="B1016" s="1126"/>
      <c r="C1016" s="1126"/>
      <c r="D1016" s="1126"/>
      <c r="E1016" s="1126"/>
      <c r="F1016" s="1126"/>
      <c r="G1016" s="1126"/>
      <c r="H1016" s="1126"/>
      <c r="I1016" s="1126"/>
      <c r="J1016" s="1126"/>
      <c r="K1016" s="1126"/>
      <c r="L1016" s="1126"/>
      <c r="M1016" s="1126"/>
      <c r="N1016" s="1126"/>
      <c r="O1016" s="1126"/>
      <c r="P1016" s="1126"/>
      <c r="Q1016" s="1126"/>
      <c r="R1016" s="1126"/>
      <c r="S1016" s="1126"/>
      <c r="T1016" s="1126"/>
      <c r="U1016" s="1126"/>
      <c r="V1016" s="1126"/>
      <c r="W1016" s="1126"/>
      <c r="X1016" s="1126"/>
      <c r="Y1016" s="1126"/>
      <c r="Z1016" s="1126"/>
      <c r="AA1016" s="1126"/>
    </row>
    <row r="1017" ht="15.75" customHeight="1">
      <c r="A1017" s="1126"/>
      <c r="B1017" s="1126"/>
      <c r="C1017" s="1126"/>
      <c r="D1017" s="1126"/>
      <c r="E1017" s="1126"/>
      <c r="F1017" s="1126"/>
      <c r="G1017" s="1126"/>
      <c r="H1017" s="1126"/>
      <c r="I1017" s="1126"/>
      <c r="J1017" s="1126"/>
      <c r="K1017" s="1126"/>
      <c r="L1017" s="1126"/>
      <c r="M1017" s="1126"/>
      <c r="N1017" s="1126"/>
      <c r="O1017" s="1126"/>
      <c r="P1017" s="1126"/>
      <c r="Q1017" s="1126"/>
      <c r="R1017" s="1126"/>
      <c r="S1017" s="1126"/>
      <c r="T1017" s="1126"/>
      <c r="U1017" s="1126"/>
      <c r="V1017" s="1126"/>
      <c r="W1017" s="1126"/>
      <c r="X1017" s="1126"/>
      <c r="Y1017" s="1126"/>
      <c r="Z1017" s="1126"/>
      <c r="AA1017" s="1126"/>
    </row>
    <row r="1018" ht="15.75" customHeight="1">
      <c r="A1018" s="1126"/>
      <c r="B1018" s="1126"/>
      <c r="C1018" s="1126"/>
      <c r="D1018" s="1126"/>
      <c r="E1018" s="1126"/>
      <c r="F1018" s="1126"/>
      <c r="G1018" s="1126"/>
      <c r="H1018" s="1126"/>
      <c r="I1018" s="1126"/>
      <c r="J1018" s="1126"/>
      <c r="K1018" s="1126"/>
      <c r="L1018" s="1126"/>
      <c r="M1018" s="1126"/>
      <c r="N1018" s="1126"/>
      <c r="O1018" s="1126"/>
      <c r="P1018" s="1126"/>
      <c r="Q1018" s="1126"/>
      <c r="R1018" s="1126"/>
      <c r="S1018" s="1126"/>
      <c r="T1018" s="1126"/>
      <c r="U1018" s="1126"/>
      <c r="V1018" s="1126"/>
      <c r="W1018" s="1126"/>
      <c r="X1018" s="1126"/>
      <c r="Y1018" s="1126"/>
      <c r="Z1018" s="1126"/>
      <c r="AA1018" s="1126"/>
    </row>
    <row r="1019" ht="15.75" customHeight="1">
      <c r="A1019" s="1126"/>
      <c r="B1019" s="1126"/>
      <c r="C1019" s="1126"/>
      <c r="D1019" s="1126"/>
      <c r="E1019" s="1126"/>
      <c r="F1019" s="1126"/>
      <c r="G1019" s="1126"/>
      <c r="H1019" s="1126"/>
      <c r="I1019" s="1126"/>
      <c r="J1019" s="1126"/>
      <c r="K1019" s="1126"/>
      <c r="L1019" s="1126"/>
      <c r="M1019" s="1126"/>
      <c r="N1019" s="1126"/>
      <c r="O1019" s="1126"/>
      <c r="P1019" s="1126"/>
      <c r="Q1019" s="1126"/>
      <c r="R1019" s="1126"/>
      <c r="S1019" s="1126"/>
      <c r="T1019" s="1126"/>
      <c r="U1019" s="1126"/>
      <c r="V1019" s="1126"/>
      <c r="W1019" s="1126"/>
      <c r="X1019" s="1126"/>
      <c r="Y1019" s="1126"/>
      <c r="Z1019" s="1126"/>
      <c r="AA1019" s="1126"/>
    </row>
    <row r="1020" ht="15.75" customHeight="1">
      <c r="A1020" s="1126"/>
      <c r="B1020" s="1126"/>
      <c r="C1020" s="1126"/>
      <c r="D1020" s="1126"/>
      <c r="E1020" s="1126"/>
      <c r="F1020" s="1126"/>
      <c r="G1020" s="1126"/>
      <c r="H1020" s="1126"/>
      <c r="I1020" s="1126"/>
      <c r="J1020" s="1126"/>
      <c r="K1020" s="1126"/>
      <c r="L1020" s="1126"/>
      <c r="M1020" s="1126"/>
      <c r="N1020" s="1126"/>
      <c r="O1020" s="1126"/>
      <c r="P1020" s="1126"/>
      <c r="Q1020" s="1126"/>
      <c r="R1020" s="1126"/>
      <c r="S1020" s="1126"/>
      <c r="T1020" s="1126"/>
      <c r="U1020" s="1126"/>
      <c r="V1020" s="1126"/>
      <c r="W1020" s="1126"/>
      <c r="X1020" s="1126"/>
      <c r="Y1020" s="1126"/>
      <c r="Z1020" s="1126"/>
      <c r="AA1020" s="1126"/>
    </row>
    <row r="1021" ht="15.75" customHeight="1">
      <c r="A1021" s="1126"/>
      <c r="B1021" s="1126"/>
      <c r="C1021" s="1126"/>
      <c r="D1021" s="1126"/>
      <c r="E1021" s="1126"/>
      <c r="F1021" s="1126"/>
      <c r="G1021" s="1126"/>
      <c r="H1021" s="1126"/>
      <c r="I1021" s="1126"/>
      <c r="J1021" s="1126"/>
      <c r="K1021" s="1126"/>
      <c r="L1021" s="1126"/>
      <c r="M1021" s="1126"/>
      <c r="N1021" s="1126"/>
      <c r="O1021" s="1126"/>
      <c r="P1021" s="1126"/>
      <c r="Q1021" s="1126"/>
      <c r="R1021" s="1126"/>
      <c r="S1021" s="1126"/>
      <c r="T1021" s="1126"/>
      <c r="U1021" s="1126"/>
      <c r="V1021" s="1126"/>
      <c r="W1021" s="1126"/>
      <c r="X1021" s="1126"/>
      <c r="Y1021" s="1126"/>
      <c r="Z1021" s="1126"/>
      <c r="AA1021" s="1126"/>
    </row>
    <row r="1022" ht="15.75" customHeight="1">
      <c r="A1022" s="1126"/>
      <c r="B1022" s="1126"/>
      <c r="C1022" s="1126"/>
      <c r="D1022" s="1126"/>
      <c r="E1022" s="1126"/>
      <c r="F1022" s="1126"/>
      <c r="G1022" s="1126"/>
      <c r="H1022" s="1126"/>
      <c r="I1022" s="1126"/>
      <c r="J1022" s="1126"/>
      <c r="K1022" s="1126"/>
      <c r="L1022" s="1126"/>
      <c r="M1022" s="1126"/>
      <c r="N1022" s="1126"/>
      <c r="O1022" s="1126"/>
      <c r="P1022" s="1126"/>
      <c r="Q1022" s="1126"/>
      <c r="R1022" s="1126"/>
      <c r="S1022" s="1126"/>
      <c r="T1022" s="1126"/>
      <c r="U1022" s="1126"/>
      <c r="V1022" s="1126"/>
      <c r="W1022" s="1126"/>
      <c r="X1022" s="1126"/>
      <c r="Y1022" s="1126"/>
      <c r="Z1022" s="1126"/>
      <c r="AA1022" s="1126"/>
    </row>
    <row r="1023" ht="15.75" customHeight="1">
      <c r="A1023" s="1126"/>
      <c r="B1023" s="1126"/>
      <c r="C1023" s="1126"/>
      <c r="D1023" s="1126"/>
      <c r="E1023" s="1126"/>
      <c r="F1023" s="1126"/>
      <c r="G1023" s="1126"/>
      <c r="H1023" s="1126"/>
      <c r="I1023" s="1126"/>
      <c r="J1023" s="1126"/>
      <c r="K1023" s="1126"/>
      <c r="L1023" s="1126"/>
      <c r="M1023" s="1126"/>
      <c r="N1023" s="1126"/>
      <c r="O1023" s="1126"/>
      <c r="P1023" s="1126"/>
      <c r="Q1023" s="1126"/>
      <c r="R1023" s="1126"/>
      <c r="S1023" s="1126"/>
      <c r="T1023" s="1126"/>
      <c r="U1023" s="1126"/>
      <c r="V1023" s="1126"/>
      <c r="W1023" s="1126"/>
      <c r="X1023" s="1126"/>
      <c r="Y1023" s="1126"/>
      <c r="Z1023" s="1126"/>
      <c r="AA1023" s="1126"/>
    </row>
    <row r="1024" ht="15.75" customHeight="1">
      <c r="A1024" s="1126"/>
      <c r="B1024" s="1126"/>
      <c r="C1024" s="1126"/>
      <c r="D1024" s="1126"/>
      <c r="E1024" s="1126"/>
      <c r="F1024" s="1126"/>
      <c r="G1024" s="1126"/>
      <c r="H1024" s="1126"/>
      <c r="I1024" s="1126"/>
      <c r="J1024" s="1126"/>
      <c r="K1024" s="1126"/>
      <c r="L1024" s="1126"/>
      <c r="M1024" s="1126"/>
      <c r="N1024" s="1126"/>
      <c r="O1024" s="1126"/>
      <c r="P1024" s="1126"/>
      <c r="Q1024" s="1126"/>
      <c r="R1024" s="1126"/>
      <c r="S1024" s="1126"/>
      <c r="T1024" s="1126"/>
      <c r="U1024" s="1126"/>
      <c r="V1024" s="1126"/>
      <c r="W1024" s="1126"/>
      <c r="X1024" s="1126"/>
      <c r="Y1024" s="1126"/>
      <c r="Z1024" s="1126"/>
      <c r="AA1024" s="1126"/>
    </row>
    <row r="1025" ht="15.75" customHeight="1">
      <c r="A1025" s="1126"/>
      <c r="B1025" s="1126"/>
      <c r="C1025" s="1126"/>
      <c r="D1025" s="1126"/>
      <c r="E1025" s="1126"/>
      <c r="F1025" s="1126"/>
      <c r="G1025" s="1126"/>
      <c r="H1025" s="1126"/>
      <c r="I1025" s="1126"/>
      <c r="J1025" s="1126"/>
      <c r="K1025" s="1126"/>
      <c r="L1025" s="1126"/>
      <c r="M1025" s="1126"/>
      <c r="N1025" s="1126"/>
      <c r="O1025" s="1126"/>
      <c r="P1025" s="1126"/>
      <c r="Q1025" s="1126"/>
      <c r="R1025" s="1126"/>
      <c r="S1025" s="1126"/>
      <c r="T1025" s="1126"/>
      <c r="U1025" s="1126"/>
      <c r="V1025" s="1126"/>
      <c r="W1025" s="1126"/>
      <c r="X1025" s="1126"/>
      <c r="Y1025" s="1126"/>
      <c r="Z1025" s="1126"/>
      <c r="AA1025" s="1126"/>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28" width="6.22"/>
  </cols>
  <sheetData>
    <row r="1">
      <c r="B1" s="1126"/>
      <c r="C1" s="1126"/>
      <c r="D1" s="1126"/>
      <c r="E1" s="1126"/>
      <c r="F1" s="1126"/>
      <c r="G1" s="1126"/>
      <c r="H1" s="1126"/>
      <c r="I1" s="1126"/>
      <c r="J1" s="1126"/>
      <c r="K1" s="1126"/>
      <c r="L1" s="1126"/>
      <c r="M1" s="1126"/>
      <c r="N1" s="1126"/>
      <c r="O1" s="1126"/>
      <c r="P1" s="1126"/>
      <c r="Q1" s="1126"/>
      <c r="R1" s="1126"/>
      <c r="S1" s="1126"/>
      <c r="T1" s="1126"/>
      <c r="U1" s="1126"/>
      <c r="V1" s="1126"/>
      <c r="W1" s="1126"/>
      <c r="X1" s="1126"/>
      <c r="Y1" s="1126"/>
      <c r="Z1" s="1126"/>
      <c r="AA1" s="1126"/>
      <c r="AB1" s="1126"/>
    </row>
    <row r="2">
      <c r="B2" s="1126"/>
      <c r="C2" s="1126"/>
      <c r="D2" s="1126"/>
      <c r="E2" s="1126"/>
      <c r="F2" s="1126"/>
      <c r="G2" s="1126"/>
      <c r="H2" s="1126"/>
      <c r="I2" s="1126"/>
      <c r="J2" s="1126"/>
      <c r="K2" s="1126"/>
      <c r="L2" s="1126"/>
      <c r="M2" s="1126"/>
      <c r="N2" s="1126"/>
      <c r="O2" s="1126"/>
      <c r="P2" s="1126"/>
      <c r="Q2" s="1126"/>
      <c r="R2" s="1126"/>
      <c r="S2" s="1126"/>
      <c r="T2" s="1126"/>
      <c r="U2" s="1126"/>
      <c r="V2" s="1126"/>
      <c r="W2" s="1126"/>
      <c r="X2" s="1126"/>
      <c r="Y2" s="1126"/>
      <c r="Z2" s="1126"/>
      <c r="AA2" s="1126"/>
      <c r="AB2" s="1126"/>
    </row>
    <row r="3">
      <c r="B3" s="1126"/>
      <c r="C3" s="1126"/>
      <c r="D3" s="1126"/>
      <c r="E3" s="1126"/>
      <c r="F3" s="1126"/>
      <c r="G3" s="1126"/>
      <c r="H3" s="1126"/>
      <c r="I3" s="1126"/>
      <c r="J3" s="1126"/>
      <c r="K3" s="1126"/>
      <c r="L3" s="1126"/>
      <c r="M3" s="1126"/>
      <c r="N3" s="1126"/>
      <c r="O3" s="1126"/>
      <c r="P3" s="1126"/>
      <c r="Q3" s="1126"/>
      <c r="R3" s="1126"/>
      <c r="S3" s="1126"/>
      <c r="T3" s="1126"/>
      <c r="U3" s="1126"/>
      <c r="V3" s="1126"/>
      <c r="W3" s="1126"/>
      <c r="X3" s="1126"/>
      <c r="Y3" s="1126"/>
      <c r="Z3" s="1126"/>
      <c r="AA3" s="1126"/>
      <c r="AB3" s="1126"/>
    </row>
    <row r="4">
      <c r="B4" s="1126"/>
      <c r="C4" s="1126"/>
      <c r="D4" s="1126"/>
      <c r="E4" s="1126"/>
      <c r="F4" s="1126"/>
      <c r="G4" s="1126"/>
      <c r="H4" s="1126"/>
      <c r="I4" s="1126"/>
      <c r="J4" s="1126"/>
      <c r="K4" s="1126"/>
      <c r="L4" s="1126"/>
      <c r="M4" s="1126"/>
      <c r="N4" s="1126"/>
      <c r="O4" s="1126"/>
      <c r="P4" s="1126"/>
      <c r="Q4" s="1126"/>
      <c r="R4" s="1126"/>
      <c r="S4" s="1126"/>
      <c r="T4" s="1126"/>
      <c r="U4" s="1126"/>
      <c r="V4" s="1126"/>
      <c r="W4" s="1126"/>
      <c r="X4" s="1126"/>
      <c r="Y4" s="1126"/>
      <c r="Z4" s="1126"/>
      <c r="AA4" s="1126"/>
      <c r="AB4" s="1126"/>
    </row>
    <row r="5">
      <c r="B5" s="1126"/>
      <c r="C5" s="1126"/>
      <c r="D5" s="1126"/>
      <c r="E5" s="1126"/>
      <c r="F5" s="1126"/>
      <c r="G5" s="1126"/>
      <c r="H5" s="1126"/>
      <c r="I5" s="1126"/>
      <c r="J5" s="1126"/>
      <c r="K5" s="1126"/>
      <c r="L5" s="1126"/>
      <c r="M5" s="1126"/>
      <c r="N5" s="1126"/>
      <c r="O5" s="1126"/>
      <c r="P5" s="1126"/>
      <c r="Q5" s="1126"/>
      <c r="R5" s="1126"/>
      <c r="S5" s="1126"/>
      <c r="T5" s="1126"/>
      <c r="U5" s="1126"/>
      <c r="V5" s="1126"/>
      <c r="W5" s="1126"/>
      <c r="X5" s="1126"/>
      <c r="Y5" s="1126"/>
      <c r="Z5" s="1126"/>
      <c r="AA5" s="1126"/>
      <c r="AB5" s="1126"/>
    </row>
    <row r="6">
      <c r="B6" s="1126"/>
      <c r="C6" s="1126"/>
      <c r="D6" s="1126"/>
      <c r="E6" s="1126"/>
      <c r="F6" s="1126"/>
      <c r="G6" s="1126"/>
      <c r="H6" s="1126"/>
      <c r="I6" s="1126"/>
      <c r="J6" s="1126"/>
      <c r="K6" s="1126"/>
      <c r="L6" s="1126"/>
      <c r="M6" s="1126"/>
      <c r="N6" s="1126"/>
      <c r="O6" s="1126"/>
      <c r="P6" s="1126"/>
      <c r="Q6" s="1126"/>
      <c r="R6" s="1126"/>
      <c r="S6" s="1126"/>
      <c r="T6" s="1126"/>
      <c r="U6" s="1126"/>
      <c r="V6" s="1126"/>
      <c r="W6" s="1126"/>
      <c r="X6" s="1126"/>
      <c r="Y6" s="1126"/>
      <c r="Z6" s="1126"/>
      <c r="AA6" s="1126"/>
      <c r="AB6" s="1126"/>
    </row>
    <row r="7">
      <c r="B7" s="1126"/>
      <c r="C7" s="1126"/>
      <c r="D7" s="1126"/>
      <c r="E7" s="1126"/>
      <c r="F7" s="1126"/>
      <c r="G7" s="1126"/>
      <c r="H7" s="1126"/>
      <c r="I7" s="1126"/>
      <c r="J7" s="1126"/>
      <c r="K7" s="1126"/>
      <c r="L7" s="1126"/>
      <c r="M7" s="1126"/>
      <c r="N7" s="1126"/>
      <c r="O7" s="1126"/>
      <c r="P7" s="1126"/>
      <c r="Q7" s="1126"/>
      <c r="R7" s="1126"/>
      <c r="S7" s="1126"/>
      <c r="T7" s="1126"/>
      <c r="U7" s="1126"/>
      <c r="V7" s="1126"/>
      <c r="W7" s="1126"/>
      <c r="X7" s="1126"/>
      <c r="Y7" s="1126"/>
      <c r="Z7" s="1126"/>
      <c r="AA7" s="1126"/>
      <c r="AB7" s="1126"/>
    </row>
    <row r="8">
      <c r="B8" s="1126"/>
      <c r="C8" s="1126"/>
      <c r="D8" s="1126"/>
      <c r="E8" s="1126"/>
      <c r="F8" s="1126"/>
      <c r="G8" s="1126"/>
      <c r="H8" s="1126"/>
      <c r="I8" s="1126"/>
      <c r="J8" s="1126"/>
      <c r="K8" s="1126"/>
      <c r="L8" s="1126"/>
      <c r="M8" s="1126"/>
      <c r="N8" s="1126"/>
      <c r="O8" s="1126"/>
      <c r="P8" s="1126"/>
      <c r="Q8" s="1126"/>
      <c r="R8" s="1126"/>
      <c r="S8" s="1126"/>
      <c r="T8" s="1126"/>
      <c r="U8" s="1126"/>
      <c r="V8" s="1126"/>
      <c r="W8" s="1126"/>
      <c r="X8" s="1126"/>
      <c r="Y8" s="1126"/>
      <c r="Z8" s="1126"/>
      <c r="AA8" s="1126"/>
      <c r="AB8" s="1126"/>
    </row>
    <row r="9">
      <c r="B9" s="1126"/>
      <c r="C9" s="1126"/>
      <c r="D9" s="1126"/>
      <c r="E9" s="1126"/>
      <c r="F9" s="1126"/>
      <c r="G9" s="1126"/>
      <c r="H9" s="1126"/>
      <c r="I9" s="1126"/>
      <c r="J9" s="1126"/>
      <c r="K9" s="1126"/>
      <c r="L9" s="1126"/>
      <c r="M9" s="1126"/>
      <c r="N9" s="1126"/>
      <c r="O9" s="1126"/>
      <c r="P9" s="1126"/>
      <c r="Q9" s="1126"/>
      <c r="R9" s="1126"/>
      <c r="S9" s="1126"/>
      <c r="T9" s="1126"/>
      <c r="U9" s="1126"/>
      <c r="V9" s="1126"/>
      <c r="W9" s="1126"/>
      <c r="X9" s="1126"/>
      <c r="Y9" s="1126"/>
      <c r="Z9" s="1126"/>
      <c r="AA9" s="1126"/>
      <c r="AB9" s="1126"/>
    </row>
    <row r="10">
      <c r="B10" s="1126"/>
      <c r="C10" s="1126"/>
      <c r="D10" s="1126"/>
      <c r="E10" s="1126"/>
      <c r="F10" s="1126"/>
      <c r="G10" s="1126"/>
      <c r="H10" s="1126"/>
      <c r="I10" s="1126"/>
      <c r="J10" s="1126"/>
      <c r="K10" s="1126"/>
      <c r="L10" s="1126"/>
      <c r="M10" s="1126"/>
      <c r="N10" s="1126"/>
      <c r="O10" s="1126"/>
      <c r="P10" s="1126"/>
      <c r="Q10" s="1126"/>
      <c r="R10" s="1126"/>
      <c r="S10" s="1126"/>
      <c r="T10" s="1126"/>
      <c r="U10" s="1126"/>
      <c r="V10" s="1126"/>
      <c r="W10" s="1126"/>
      <c r="X10" s="1126"/>
      <c r="Y10" s="1126"/>
      <c r="Z10" s="1126"/>
      <c r="AA10" s="1126"/>
      <c r="AB10" s="1126"/>
    </row>
    <row r="11">
      <c r="B11" s="1126"/>
      <c r="C11" s="1126"/>
      <c r="D11" s="1126"/>
      <c r="E11" s="1126"/>
      <c r="F11" s="1126"/>
      <c r="G11" s="1126"/>
      <c r="H11" s="1126"/>
      <c r="I11" s="1126"/>
      <c r="J11" s="1126"/>
      <c r="K11" s="1126"/>
      <c r="L11" s="1126"/>
      <c r="M11" s="1126"/>
      <c r="N11" s="1126"/>
      <c r="O11" s="1126"/>
      <c r="P11" s="1126"/>
      <c r="Q11" s="1126"/>
      <c r="R11" s="1126"/>
      <c r="S11" s="1126"/>
      <c r="T11" s="1126"/>
      <c r="U11" s="1126"/>
      <c r="V11" s="1126"/>
      <c r="W11" s="1126"/>
      <c r="X11" s="1126"/>
      <c r="Y11" s="1126"/>
      <c r="Z11" s="1126"/>
      <c r="AA11" s="1126"/>
      <c r="AB11" s="1126"/>
    </row>
    <row r="12">
      <c r="B12" s="1126"/>
      <c r="C12" s="1126"/>
      <c r="D12" s="1126"/>
      <c r="E12" s="1126"/>
      <c r="F12" s="1126"/>
      <c r="G12" s="1126"/>
      <c r="H12" s="1126"/>
      <c r="I12" s="1126"/>
      <c r="J12" s="1126"/>
      <c r="K12" s="1126"/>
      <c r="L12" s="1126"/>
      <c r="M12" s="1126"/>
      <c r="N12" s="1126"/>
      <c r="O12" s="1126"/>
      <c r="P12" s="1126"/>
      <c r="Q12" s="1126"/>
      <c r="R12" s="1126"/>
      <c r="S12" s="1126"/>
      <c r="T12" s="1126"/>
      <c r="U12" s="1126"/>
      <c r="V12" s="1126"/>
      <c r="W12" s="1126"/>
      <c r="X12" s="1126"/>
      <c r="Y12" s="1126"/>
      <c r="Z12" s="1126"/>
      <c r="AA12" s="1126"/>
      <c r="AB12" s="1126"/>
    </row>
    <row r="13">
      <c r="B13" s="1126"/>
      <c r="C13" s="1126"/>
      <c r="D13" s="1126"/>
      <c r="E13" s="1126"/>
      <c r="F13" s="1126"/>
      <c r="G13" s="1126"/>
      <c r="H13" s="1126"/>
      <c r="I13" s="1126"/>
      <c r="J13" s="1126"/>
      <c r="K13" s="1126"/>
      <c r="L13" s="1126"/>
      <c r="M13" s="1126"/>
      <c r="N13" s="1126"/>
      <c r="O13" s="1126"/>
      <c r="P13" s="1126"/>
      <c r="Q13" s="1126"/>
      <c r="R13" s="1126"/>
      <c r="S13" s="1126"/>
      <c r="T13" s="1126"/>
      <c r="U13" s="1126"/>
      <c r="V13" s="1126"/>
      <c r="W13" s="1126"/>
      <c r="X13" s="1126"/>
      <c r="Y13" s="1126"/>
      <c r="Z13" s="1126"/>
      <c r="AA13" s="1126"/>
      <c r="AB13" s="1126"/>
    </row>
    <row r="14">
      <c r="B14" s="1126"/>
      <c r="C14" s="1126"/>
      <c r="D14" s="1126"/>
      <c r="E14" s="1126"/>
      <c r="F14" s="1126"/>
      <c r="G14" s="1126"/>
      <c r="H14" s="1126"/>
      <c r="I14" s="1126"/>
      <c r="J14" s="1126"/>
      <c r="K14" s="1126"/>
      <c r="L14" s="1126"/>
      <c r="M14" s="1126"/>
      <c r="N14" s="1126"/>
      <c r="O14" s="1126"/>
      <c r="P14" s="1126"/>
      <c r="Q14" s="1126"/>
      <c r="R14" s="1126"/>
      <c r="S14" s="1126"/>
      <c r="T14" s="1126"/>
      <c r="U14" s="1126"/>
      <c r="V14" s="1126"/>
      <c r="W14" s="1126"/>
      <c r="X14" s="1126"/>
      <c r="Y14" s="1126"/>
      <c r="Z14" s="1126"/>
      <c r="AA14" s="1126"/>
      <c r="AB14" s="1126"/>
    </row>
    <row r="15">
      <c r="B15" s="1126"/>
      <c r="C15" s="1126"/>
      <c r="D15" s="1126"/>
      <c r="E15" s="1126"/>
      <c r="F15" s="1126"/>
      <c r="G15" s="1126"/>
      <c r="H15" s="1126"/>
      <c r="I15" s="1126"/>
      <c r="J15" s="1126"/>
      <c r="K15" s="1126"/>
      <c r="L15" s="1126"/>
      <c r="M15" s="1126"/>
      <c r="N15" s="1126"/>
      <c r="O15" s="1126"/>
      <c r="P15" s="1126"/>
      <c r="Q15" s="1126"/>
      <c r="R15" s="1126"/>
      <c r="S15" s="1126"/>
      <c r="T15" s="1126"/>
      <c r="U15" s="1126"/>
      <c r="V15" s="1126"/>
      <c r="W15" s="1126"/>
      <c r="X15" s="1126"/>
      <c r="Y15" s="1126"/>
      <c r="Z15" s="1126"/>
      <c r="AA15" s="1125"/>
      <c r="AB15" s="1125"/>
    </row>
    <row r="16">
      <c r="B16" s="1126"/>
      <c r="C16" s="1126"/>
      <c r="D16" s="1126"/>
      <c r="E16" s="1126"/>
      <c r="F16" s="1126"/>
      <c r="G16" s="1126"/>
      <c r="H16" s="1126"/>
      <c r="I16" s="1126"/>
      <c r="J16" s="1126"/>
      <c r="K16" s="1126"/>
      <c r="L16" s="1126"/>
      <c r="M16" s="1126"/>
      <c r="N16" s="1126"/>
      <c r="O16" s="1126"/>
      <c r="P16" s="1126"/>
      <c r="Q16" s="1126"/>
      <c r="R16" s="1126"/>
      <c r="S16" s="1126"/>
      <c r="T16" s="1126"/>
      <c r="U16" s="1126"/>
      <c r="V16" s="1126"/>
      <c r="W16" s="1126"/>
      <c r="X16" s="1126"/>
      <c r="Y16" s="1126"/>
      <c r="Z16" s="1126"/>
      <c r="AA16" s="1126"/>
      <c r="AB16" s="1126"/>
    </row>
    <row r="17">
      <c r="B17" s="1126"/>
      <c r="C17" s="1126"/>
      <c r="D17" s="1126"/>
      <c r="E17" s="1126"/>
      <c r="F17" s="1126"/>
      <c r="G17" s="1126"/>
      <c r="H17" s="1126"/>
      <c r="I17" s="1126"/>
      <c r="J17" s="1126"/>
      <c r="K17" s="1126"/>
      <c r="L17" s="1126"/>
      <c r="M17" s="1126"/>
      <c r="N17" s="1126"/>
      <c r="O17" s="1126"/>
      <c r="P17" s="1126"/>
      <c r="Q17" s="1126"/>
      <c r="R17" s="1126"/>
      <c r="S17" s="1126"/>
      <c r="T17" s="1126"/>
      <c r="U17" s="1126"/>
      <c r="V17" s="1126"/>
      <c r="W17" s="1126"/>
      <c r="X17" s="1126"/>
      <c r="Y17" s="1126"/>
      <c r="Z17" s="1126"/>
      <c r="AA17" s="1126"/>
      <c r="AB17" s="1126"/>
    </row>
    <row r="18">
      <c r="B18" s="1126"/>
      <c r="C18" s="1126"/>
      <c r="D18" s="1126"/>
      <c r="E18" s="1126"/>
      <c r="F18" s="1126"/>
      <c r="G18" s="1126"/>
      <c r="H18" s="1126"/>
      <c r="I18" s="1126"/>
      <c r="J18" s="1126"/>
      <c r="K18" s="1126"/>
      <c r="L18" s="1126"/>
      <c r="M18" s="1126"/>
      <c r="N18" s="1126"/>
      <c r="O18" s="1126"/>
      <c r="P18" s="1126"/>
      <c r="Q18" s="1126"/>
      <c r="R18" s="1126"/>
      <c r="S18" s="1126"/>
      <c r="T18" s="1126"/>
      <c r="U18" s="1126"/>
      <c r="V18" s="1126"/>
      <c r="W18" s="1126"/>
      <c r="X18" s="1126"/>
      <c r="Y18" s="1126"/>
      <c r="Z18" s="1126"/>
      <c r="AA18" s="1126"/>
      <c r="AB18" s="1126"/>
    </row>
    <row r="19">
      <c r="B19" s="1126"/>
      <c r="C19" s="1126"/>
      <c r="D19" s="1126"/>
      <c r="E19" s="1126"/>
      <c r="F19" s="1126"/>
      <c r="G19" s="1126"/>
      <c r="H19" s="1126"/>
      <c r="I19" s="1126"/>
      <c r="J19" s="1126"/>
      <c r="K19" s="1126"/>
      <c r="L19" s="1126"/>
      <c r="M19" s="1126"/>
      <c r="N19" s="1126"/>
      <c r="O19" s="1126"/>
      <c r="P19" s="1126"/>
      <c r="Q19" s="1126"/>
      <c r="R19" s="1126"/>
      <c r="S19" s="1126"/>
      <c r="T19" s="1126"/>
      <c r="U19" s="1126"/>
      <c r="V19" s="1126"/>
      <c r="W19" s="1126"/>
      <c r="X19" s="1126"/>
      <c r="Y19" s="1126"/>
      <c r="Z19" s="1126"/>
      <c r="AA19" s="1126"/>
      <c r="AB19" s="1126"/>
    </row>
    <row r="20">
      <c r="B20" s="1126"/>
      <c r="C20" s="1126"/>
      <c r="D20" s="1126"/>
      <c r="E20" s="1126"/>
      <c r="F20" s="1126"/>
      <c r="G20" s="1126"/>
      <c r="H20" s="1126"/>
      <c r="I20" s="1126"/>
      <c r="J20" s="1126"/>
      <c r="K20" s="1126"/>
      <c r="L20" s="1126"/>
      <c r="M20" s="1126"/>
      <c r="N20" s="1126"/>
      <c r="O20" s="1126"/>
      <c r="P20" s="1126"/>
      <c r="Q20" s="1126"/>
      <c r="R20" s="1126"/>
      <c r="S20" s="1126"/>
      <c r="T20" s="1126"/>
      <c r="U20" s="1126"/>
      <c r="V20" s="1126"/>
      <c r="W20" s="1126"/>
      <c r="X20" s="1126"/>
      <c r="Y20" s="1126"/>
      <c r="Z20" s="1126"/>
      <c r="AA20" s="1126"/>
      <c r="AB20" s="1126"/>
    </row>
    <row r="21" ht="15.75" customHeight="1">
      <c r="B21" s="1126"/>
      <c r="C21" s="1126"/>
      <c r="D21" s="1126"/>
      <c r="E21" s="1126"/>
      <c r="F21" s="1126"/>
      <c r="G21" s="1126"/>
      <c r="H21" s="1126"/>
      <c r="I21" s="1126"/>
      <c r="J21" s="1126"/>
      <c r="K21" s="1126"/>
      <c r="L21" s="1126"/>
      <c r="M21" s="1126"/>
      <c r="N21" s="1126"/>
      <c r="O21" s="1126"/>
      <c r="P21" s="1126"/>
      <c r="Q21" s="1126"/>
      <c r="R21" s="1126"/>
      <c r="S21" s="1126"/>
      <c r="T21" s="1126"/>
      <c r="U21" s="1126"/>
      <c r="V21" s="1126"/>
      <c r="W21" s="1126"/>
      <c r="X21" s="1126"/>
      <c r="Y21" s="1126"/>
      <c r="Z21" s="1126"/>
      <c r="AA21" s="1126"/>
      <c r="AB21" s="1126"/>
    </row>
    <row r="22" ht="15.75" customHeight="1">
      <c r="B22" s="1126"/>
      <c r="C22" s="1126"/>
      <c r="D22" s="1126"/>
      <c r="E22" s="1126"/>
      <c r="F22" s="1126"/>
      <c r="G22" s="1126"/>
      <c r="H22" s="1126"/>
      <c r="I22" s="1126"/>
      <c r="J22" s="1126"/>
      <c r="K22" s="1126"/>
      <c r="L22" s="1126"/>
      <c r="M22" s="1126"/>
      <c r="N22" s="1126"/>
      <c r="O22" s="1126"/>
      <c r="P22" s="1126"/>
      <c r="Q22" s="1126"/>
      <c r="R22" s="1126"/>
      <c r="S22" s="1126"/>
      <c r="T22" s="1126"/>
      <c r="U22" s="1126"/>
      <c r="V22" s="1126"/>
      <c r="W22" s="1126"/>
      <c r="X22" s="1126"/>
      <c r="Y22" s="1126"/>
      <c r="Z22" s="1126"/>
      <c r="AA22" s="1126"/>
      <c r="AB22" s="1126"/>
    </row>
    <row r="23" ht="15.75" customHeight="1">
      <c r="B23" s="1126"/>
      <c r="C23" s="1126"/>
      <c r="D23" s="1126"/>
      <c r="E23" s="1126"/>
      <c r="F23" s="1126"/>
      <c r="G23" s="1126"/>
      <c r="H23" s="1126"/>
      <c r="I23" s="1126"/>
      <c r="J23" s="1126"/>
      <c r="K23" s="1126"/>
      <c r="L23" s="1126"/>
      <c r="M23" s="1126"/>
      <c r="N23" s="1126"/>
      <c r="O23" s="1126"/>
      <c r="P23" s="1126"/>
      <c r="Q23" s="1126"/>
      <c r="R23" s="1126"/>
      <c r="S23" s="1126"/>
      <c r="T23" s="1126"/>
      <c r="U23" s="1126"/>
      <c r="V23" s="1126"/>
      <c r="W23" s="1126"/>
      <c r="X23" s="1126"/>
      <c r="Y23" s="1126"/>
      <c r="Z23" s="1126"/>
      <c r="AA23" s="1126"/>
      <c r="AB23" s="1126"/>
    </row>
    <row r="24" ht="15.75" customHeight="1">
      <c r="B24" s="1126"/>
      <c r="C24" s="1126"/>
      <c r="D24" s="1126"/>
      <c r="E24" s="1126"/>
      <c r="F24" s="1126"/>
      <c r="G24" s="1126"/>
      <c r="H24" s="1126"/>
      <c r="I24" s="1126"/>
      <c r="J24" s="1126"/>
      <c r="K24" s="1126"/>
      <c r="L24" s="1126"/>
      <c r="M24" s="1126"/>
      <c r="N24" s="1126"/>
      <c r="O24" s="1126"/>
      <c r="P24" s="1126"/>
      <c r="Q24" s="1126"/>
      <c r="R24" s="1126"/>
      <c r="S24" s="1126"/>
      <c r="T24" s="1126"/>
      <c r="U24" s="1126"/>
      <c r="V24" s="1126"/>
      <c r="W24" s="1126"/>
      <c r="X24" s="1126"/>
      <c r="Y24" s="1126"/>
      <c r="Z24" s="1126"/>
      <c r="AA24" s="1126"/>
      <c r="AB24" s="1126"/>
    </row>
    <row r="25" ht="15.75" customHeight="1">
      <c r="B25" s="1126"/>
      <c r="C25" s="1126"/>
      <c r="D25" s="1126"/>
      <c r="E25" s="1126"/>
      <c r="F25" s="1126"/>
      <c r="G25" s="1126"/>
      <c r="H25" s="1126"/>
      <c r="I25" s="1126"/>
      <c r="J25" s="1126"/>
      <c r="K25" s="1126"/>
      <c r="L25" s="1126"/>
      <c r="M25" s="1126"/>
      <c r="N25" s="1126"/>
      <c r="O25" s="1126"/>
      <c r="P25" s="1126"/>
      <c r="Q25" s="1126"/>
      <c r="R25" s="1126"/>
      <c r="S25" s="1126"/>
      <c r="T25" s="1126"/>
      <c r="U25" s="1126"/>
      <c r="V25" s="1126"/>
      <c r="W25" s="1126"/>
      <c r="X25" s="1126"/>
      <c r="Y25" s="1126"/>
      <c r="Z25" s="1126"/>
      <c r="AA25" s="1126"/>
      <c r="AB25" s="1126"/>
    </row>
    <row r="26" ht="15.75" customHeight="1">
      <c r="B26" s="1126"/>
      <c r="C26" s="1126"/>
      <c r="D26" s="1126"/>
      <c r="E26" s="1126"/>
      <c r="F26" s="1126"/>
      <c r="G26" s="1126"/>
      <c r="H26" s="1126"/>
      <c r="I26" s="1126"/>
      <c r="J26" s="1126"/>
      <c r="K26" s="1126"/>
      <c r="L26" s="1126"/>
      <c r="M26" s="1126"/>
      <c r="N26" s="1126"/>
      <c r="O26" s="1126"/>
      <c r="P26" s="1126"/>
      <c r="Q26" s="1126"/>
      <c r="R26" s="1126"/>
      <c r="S26" s="1126"/>
      <c r="T26" s="1126"/>
      <c r="U26" s="1126"/>
      <c r="V26" s="1126"/>
      <c r="W26" s="1126"/>
      <c r="X26" s="1126"/>
      <c r="Y26" s="1126"/>
      <c r="Z26" s="1126"/>
      <c r="AA26" s="1126"/>
      <c r="AB26" s="1126"/>
    </row>
    <row r="27" ht="15.75" customHeight="1">
      <c r="B27" s="1126"/>
      <c r="C27" s="1126"/>
      <c r="D27" s="1126"/>
      <c r="E27" s="1126"/>
      <c r="F27" s="1126"/>
      <c r="G27" s="1126"/>
      <c r="H27" s="1126"/>
      <c r="I27" s="1126"/>
      <c r="J27" s="1126"/>
      <c r="K27" s="1126"/>
      <c r="L27" s="1126"/>
      <c r="M27" s="1126"/>
      <c r="N27" s="1126"/>
      <c r="O27" s="1126"/>
      <c r="P27" s="1126"/>
      <c r="Q27" s="1126"/>
      <c r="R27" s="1126"/>
      <c r="S27" s="1126"/>
      <c r="T27" s="1126"/>
      <c r="U27" s="1126"/>
      <c r="V27" s="1126"/>
      <c r="W27" s="1126"/>
      <c r="X27" s="1126"/>
      <c r="Y27" s="1126"/>
      <c r="Z27" s="1126"/>
      <c r="AA27" s="1126"/>
      <c r="AB27" s="1126"/>
    </row>
    <row r="28" ht="15.75" customHeight="1">
      <c r="B28" s="1126"/>
      <c r="C28" s="1126"/>
      <c r="D28" s="1126"/>
      <c r="E28" s="1126"/>
      <c r="F28" s="1126"/>
      <c r="G28" s="1126"/>
      <c r="H28" s="1126"/>
      <c r="I28" s="1126"/>
      <c r="J28" s="1126"/>
      <c r="K28" s="1126"/>
      <c r="L28" s="1126"/>
      <c r="M28" s="1126"/>
      <c r="N28" s="1126"/>
      <c r="O28" s="1126"/>
      <c r="P28" s="1126"/>
      <c r="Q28" s="1126"/>
      <c r="R28" s="1126"/>
      <c r="S28" s="1126"/>
      <c r="T28" s="1126"/>
      <c r="U28" s="1126"/>
      <c r="V28" s="1126"/>
      <c r="W28" s="1126"/>
      <c r="X28" s="1126"/>
      <c r="Y28" s="1126"/>
      <c r="Z28" s="1126"/>
      <c r="AA28" s="1126"/>
      <c r="AB28" s="1126"/>
    </row>
    <row r="29" ht="15.75" customHeight="1">
      <c r="B29" s="1126"/>
      <c r="C29" s="1126"/>
      <c r="D29" s="1126"/>
      <c r="E29" s="1126"/>
      <c r="F29" s="1126"/>
      <c r="G29" s="1126"/>
      <c r="H29" s="1126"/>
      <c r="I29" s="1126"/>
      <c r="J29" s="1126"/>
      <c r="K29" s="1126"/>
      <c r="L29" s="1126"/>
      <c r="M29" s="1126"/>
      <c r="N29" s="1126"/>
      <c r="O29" s="1126"/>
      <c r="P29" s="1126"/>
      <c r="Q29" s="1126"/>
      <c r="R29" s="1126"/>
      <c r="S29" s="1126"/>
      <c r="T29" s="1126"/>
      <c r="U29" s="1126"/>
      <c r="V29" s="1126"/>
      <c r="W29" s="1126"/>
      <c r="X29" s="1126"/>
      <c r="Y29" s="1126"/>
      <c r="Z29" s="1126"/>
      <c r="AA29" s="1126"/>
      <c r="AB29" s="1126"/>
    </row>
    <row r="30" ht="15.75" customHeight="1">
      <c r="B30" s="1126"/>
      <c r="C30" s="1126"/>
      <c r="D30" s="1126"/>
      <c r="E30" s="1126"/>
      <c r="F30" s="1126"/>
      <c r="G30" s="1126"/>
      <c r="H30" s="1126"/>
      <c r="I30" s="1126"/>
      <c r="J30" s="1126"/>
      <c r="K30" s="1126"/>
      <c r="L30" s="1126"/>
      <c r="M30" s="1126"/>
      <c r="N30" s="1126"/>
      <c r="O30" s="1126"/>
      <c r="P30" s="1126"/>
      <c r="Q30" s="1126"/>
      <c r="R30" s="1126"/>
      <c r="S30" s="1126"/>
      <c r="T30" s="1126"/>
      <c r="U30" s="1126"/>
      <c r="V30" s="1126"/>
      <c r="W30" s="1126"/>
      <c r="X30" s="1126"/>
      <c r="Y30" s="1126"/>
      <c r="Z30" s="1126"/>
      <c r="AA30" s="1126"/>
      <c r="AB30" s="1126"/>
    </row>
    <row r="31" ht="15.75" customHeight="1">
      <c r="B31" s="1126"/>
      <c r="C31" s="1126"/>
      <c r="D31" s="1126"/>
      <c r="E31" s="1126"/>
      <c r="F31" s="1126"/>
      <c r="G31" s="1126"/>
      <c r="H31" s="1127"/>
      <c r="I31" s="1137"/>
      <c r="J31" s="1126"/>
      <c r="K31" s="1126"/>
      <c r="L31" s="1126"/>
      <c r="M31" s="1126"/>
      <c r="N31" s="1126"/>
      <c r="O31" s="1126"/>
      <c r="P31" s="1126"/>
      <c r="Q31" s="1126"/>
      <c r="R31" s="1126"/>
      <c r="S31" s="1126"/>
      <c r="T31" s="1126"/>
      <c r="U31" s="1126"/>
      <c r="V31" s="1126"/>
      <c r="W31" s="1126"/>
      <c r="X31" s="1126"/>
      <c r="Y31" s="1126"/>
      <c r="Z31" s="1126"/>
      <c r="AA31" s="1126"/>
      <c r="AB31" s="1126"/>
    </row>
    <row r="32" ht="15.75" customHeight="1">
      <c r="B32" s="1126"/>
      <c r="C32" s="1126"/>
      <c r="D32" s="1126"/>
      <c r="E32" s="1126"/>
      <c r="F32" s="1126"/>
      <c r="G32" s="1126"/>
      <c r="H32" s="1126"/>
      <c r="I32" s="1126"/>
      <c r="J32" s="1126"/>
      <c r="K32" s="1126"/>
      <c r="L32" s="1126"/>
      <c r="M32" s="1126"/>
      <c r="N32" s="1126"/>
      <c r="O32" s="1126"/>
      <c r="P32" s="1127"/>
      <c r="Q32" s="1126" t="str">
        <f>Q29</f>
        <v/>
      </c>
      <c r="R32" s="1126"/>
      <c r="S32" s="1126"/>
      <c r="T32" s="1126"/>
      <c r="U32" s="1126"/>
      <c r="V32" s="1126"/>
      <c r="W32" s="1126"/>
      <c r="X32" s="1126"/>
      <c r="Y32" s="1126"/>
      <c r="Z32" s="1126"/>
      <c r="AA32" s="1126"/>
      <c r="AB32" s="1126"/>
    </row>
    <row r="33" ht="15.75" customHeight="1">
      <c r="B33" s="1126"/>
      <c r="C33" s="1126"/>
      <c r="D33" s="1126"/>
      <c r="E33" s="1126"/>
      <c r="F33" s="1126"/>
      <c r="G33" s="1126"/>
      <c r="H33" s="1126"/>
      <c r="I33" s="1126"/>
      <c r="J33" s="1126"/>
      <c r="K33" s="1126"/>
      <c r="L33" s="1126"/>
      <c r="M33" s="1126"/>
      <c r="N33" s="1126"/>
      <c r="O33" s="1126"/>
      <c r="P33" s="1126"/>
      <c r="Q33" s="1126"/>
      <c r="R33" s="1126"/>
      <c r="S33" s="1126"/>
      <c r="T33" s="1126"/>
      <c r="U33" s="1126"/>
      <c r="V33" s="1126"/>
      <c r="W33" s="1126"/>
      <c r="X33" s="1126"/>
      <c r="Y33" s="1126"/>
      <c r="Z33" s="1126"/>
      <c r="AA33" s="1126"/>
      <c r="AB33" s="1126"/>
    </row>
    <row r="34" ht="15.75" customHeight="1">
      <c r="B34" s="1126"/>
      <c r="C34" s="1126"/>
      <c r="D34" s="1126"/>
      <c r="E34" s="1126"/>
      <c r="F34" s="1126"/>
      <c r="G34" s="1126"/>
      <c r="H34" s="1126"/>
      <c r="I34" s="1126"/>
      <c r="J34" s="1126"/>
      <c r="K34" s="1126"/>
      <c r="L34" s="1126"/>
      <c r="M34" s="1126"/>
      <c r="N34" s="1126"/>
      <c r="O34" s="1126"/>
      <c r="P34" s="1126"/>
      <c r="Q34" s="1126"/>
      <c r="R34" s="1126"/>
      <c r="S34" s="1126"/>
      <c r="T34" s="1126"/>
      <c r="U34" s="1126"/>
      <c r="V34" s="1126"/>
      <c r="W34" s="1126"/>
      <c r="X34" s="1126"/>
      <c r="Y34" s="1126"/>
      <c r="Z34" s="1126"/>
      <c r="AA34" s="1126"/>
      <c r="AB34" s="1126"/>
    </row>
    <row r="35" ht="15.75" customHeight="1">
      <c r="B35" s="1126"/>
      <c r="C35" s="1126"/>
      <c r="D35" s="1126"/>
      <c r="E35" s="1126"/>
      <c r="F35" s="1126"/>
      <c r="G35" s="1126"/>
      <c r="H35" s="1126"/>
      <c r="I35" s="1126"/>
      <c r="J35" s="1126"/>
      <c r="K35" s="1126"/>
      <c r="L35" s="1126"/>
      <c r="M35" s="1126"/>
      <c r="N35" s="1126"/>
      <c r="O35" s="1126"/>
      <c r="P35" s="1126"/>
      <c r="Q35" s="1126"/>
      <c r="R35" s="1126"/>
      <c r="S35" s="1126"/>
      <c r="T35" s="1126"/>
      <c r="U35" s="1126"/>
      <c r="V35" s="1126"/>
      <c r="W35" s="1127"/>
      <c r="X35" s="1126" t="s">
        <v>977</v>
      </c>
      <c r="Y35" s="1126"/>
      <c r="Z35" s="1126"/>
      <c r="AA35" s="1126"/>
      <c r="AB35" s="1126"/>
    </row>
    <row r="36" ht="15.75" customHeight="1">
      <c r="B36" s="1126"/>
      <c r="C36" s="1126"/>
      <c r="D36" s="1126"/>
      <c r="E36" s="1126"/>
      <c r="F36" s="1126"/>
      <c r="G36" s="1126"/>
      <c r="H36" s="1126"/>
      <c r="I36" s="1126"/>
      <c r="J36" s="1126"/>
      <c r="K36" s="1126"/>
      <c r="L36" s="1126"/>
      <c r="M36" s="1126"/>
      <c r="N36" s="1126"/>
      <c r="O36" s="1126"/>
      <c r="P36" s="1126"/>
      <c r="Q36" s="1126"/>
      <c r="R36" s="1126"/>
      <c r="S36" s="1126"/>
      <c r="T36" s="1126"/>
      <c r="U36" s="1126"/>
      <c r="V36" s="1127"/>
      <c r="W36" s="1126" t="s">
        <v>978</v>
      </c>
      <c r="X36" s="1126"/>
      <c r="Y36" s="1126"/>
      <c r="Z36" s="1126"/>
      <c r="AA36" s="1126"/>
      <c r="AB36" s="1126"/>
    </row>
    <row r="37" ht="15.75" customHeight="1">
      <c r="B37" s="1126"/>
      <c r="C37" s="1126"/>
      <c r="D37" s="1126"/>
      <c r="E37" s="1126"/>
      <c r="F37" s="1126"/>
      <c r="G37" s="1126"/>
      <c r="H37" s="1126"/>
      <c r="I37" s="1126"/>
      <c r="J37" s="1126"/>
      <c r="K37" s="1126"/>
      <c r="L37" s="1126"/>
      <c r="M37" s="1126"/>
      <c r="N37" s="1126"/>
      <c r="O37" s="1126"/>
      <c r="P37" s="1126"/>
      <c r="Q37" s="1126"/>
      <c r="R37" s="1126"/>
      <c r="S37" s="1126"/>
      <c r="T37" s="1126"/>
      <c r="U37" s="1126"/>
      <c r="V37" s="1126"/>
      <c r="W37" s="1126"/>
      <c r="X37" s="1126"/>
      <c r="Y37" s="1126"/>
      <c r="Z37" s="1126"/>
      <c r="AA37" s="1126"/>
      <c r="AB37" s="1126"/>
    </row>
    <row r="38" ht="15.75" customHeight="1">
      <c r="B38" s="1126"/>
      <c r="C38" s="1126"/>
      <c r="D38" s="1126"/>
      <c r="E38" s="1126"/>
      <c r="F38" s="1126"/>
      <c r="G38" s="1126"/>
      <c r="H38" s="1126"/>
      <c r="I38" s="1126"/>
      <c r="J38" s="1126"/>
      <c r="K38" s="1126"/>
      <c r="L38" s="1126"/>
      <c r="M38" s="1126"/>
      <c r="N38" s="1126"/>
      <c r="O38" s="1126"/>
      <c r="P38" s="1126"/>
      <c r="Q38" s="1126"/>
      <c r="R38" s="1126"/>
      <c r="S38" s="1126"/>
      <c r="T38" s="1126"/>
      <c r="U38" s="1126"/>
      <c r="V38" s="1126"/>
      <c r="W38" s="1126"/>
      <c r="X38" s="1126"/>
      <c r="Y38" s="1126"/>
      <c r="Z38" s="1126"/>
      <c r="AA38" s="1126"/>
      <c r="AB38" s="1126"/>
    </row>
    <row r="39" ht="15.75" customHeight="1">
      <c r="B39" s="1126"/>
      <c r="C39" s="1126"/>
      <c r="D39" s="1126"/>
      <c r="E39" s="1126"/>
      <c r="F39" s="1126"/>
      <c r="G39" s="1126"/>
      <c r="H39" s="1126"/>
      <c r="I39" s="1126"/>
      <c r="J39" s="1126"/>
      <c r="K39" s="1126"/>
      <c r="L39" s="1126"/>
      <c r="M39" s="1126"/>
      <c r="N39" s="1126"/>
      <c r="O39" s="1126"/>
      <c r="P39" s="1126"/>
      <c r="Q39" s="1126"/>
      <c r="R39" s="1126"/>
      <c r="S39" s="1126"/>
      <c r="T39" s="1126"/>
      <c r="U39" s="1126"/>
      <c r="V39" s="1126"/>
      <c r="W39" s="1126"/>
      <c r="X39" s="1126"/>
      <c r="Y39" s="1126"/>
      <c r="Z39" s="1126"/>
      <c r="AA39" s="1126"/>
      <c r="AB39" s="1126"/>
    </row>
    <row r="40" ht="15.75" customHeight="1">
      <c r="B40" s="1126"/>
      <c r="C40" s="1126"/>
      <c r="D40" s="1126"/>
      <c r="E40" s="1126"/>
      <c r="F40" s="1126"/>
      <c r="G40" s="1126"/>
      <c r="H40" s="1126"/>
      <c r="I40" s="1126"/>
      <c r="J40" s="1126"/>
      <c r="K40" s="1126"/>
      <c r="L40" s="1126"/>
      <c r="M40" s="1126"/>
      <c r="N40" s="1126"/>
      <c r="O40" s="1126"/>
      <c r="P40" s="1126"/>
      <c r="Q40" s="1126"/>
      <c r="R40" s="1126"/>
      <c r="S40" s="1126"/>
      <c r="T40" s="1126"/>
      <c r="U40" s="1126"/>
      <c r="V40" s="1126"/>
      <c r="W40" s="1126"/>
      <c r="X40" s="1126"/>
      <c r="Y40" s="1126"/>
      <c r="Z40" s="1126"/>
      <c r="AA40" s="1126"/>
      <c r="AB40" s="1126"/>
    </row>
    <row r="41" ht="15.75" customHeight="1">
      <c r="B41" s="1126"/>
      <c r="C41" s="1126"/>
      <c r="D41" s="1126"/>
      <c r="E41" s="1126"/>
      <c r="F41" s="1126"/>
      <c r="G41" s="1126"/>
      <c r="H41" s="1126"/>
      <c r="I41" s="1126"/>
      <c r="J41" s="1126"/>
      <c r="K41" s="1126"/>
      <c r="L41" s="1126"/>
      <c r="M41" s="1126"/>
      <c r="N41" s="1126"/>
      <c r="O41" s="1126"/>
      <c r="P41" s="1126"/>
      <c r="Q41" s="1126"/>
      <c r="R41" s="1126"/>
      <c r="S41" s="1126"/>
      <c r="T41" s="1126"/>
      <c r="U41" s="1126"/>
      <c r="V41" s="1126"/>
      <c r="W41" s="1126"/>
      <c r="X41" s="1126"/>
      <c r="Y41" s="1126"/>
      <c r="Z41" s="1126"/>
      <c r="AA41" s="1126"/>
      <c r="AB41" s="1126"/>
    </row>
    <row r="42" ht="15.75" customHeight="1">
      <c r="B42" s="1126"/>
      <c r="C42" s="1126"/>
      <c r="D42" s="1126"/>
      <c r="E42" s="1126"/>
      <c r="F42" s="1126"/>
      <c r="G42" s="1126"/>
      <c r="H42" s="1126"/>
      <c r="I42" s="1126"/>
      <c r="J42" s="1126"/>
      <c r="K42" s="1127"/>
      <c r="L42" s="1126" t="s">
        <v>979</v>
      </c>
      <c r="M42" s="1126"/>
      <c r="N42" s="1126"/>
      <c r="O42" s="1126"/>
      <c r="P42" s="1126"/>
      <c r="Q42" s="1126"/>
      <c r="R42" s="1126"/>
      <c r="S42" s="1126"/>
      <c r="T42" s="1126"/>
      <c r="U42" s="1126"/>
      <c r="V42" s="1126"/>
      <c r="W42" s="1126"/>
      <c r="X42" s="1126"/>
      <c r="Y42" s="1126"/>
      <c r="Z42" s="1126"/>
      <c r="AA42" s="1126"/>
      <c r="AB42" s="1126"/>
    </row>
    <row r="43" ht="15.75" customHeight="1">
      <c r="B43" s="1126"/>
      <c r="C43" s="1126"/>
      <c r="D43" s="1126"/>
      <c r="E43" s="1126"/>
      <c r="F43" s="1126"/>
      <c r="G43" s="1126"/>
      <c r="H43" s="1126"/>
      <c r="I43" s="1126"/>
      <c r="J43" s="1126"/>
      <c r="K43" s="1126"/>
      <c r="L43" s="1126"/>
      <c r="M43" s="1126"/>
      <c r="N43" s="1126"/>
      <c r="O43" s="1126"/>
      <c r="P43" s="1126"/>
      <c r="Q43" s="1126"/>
      <c r="R43" s="1126"/>
      <c r="S43" s="1126"/>
      <c r="T43" s="1126"/>
      <c r="U43" s="1126"/>
      <c r="V43" s="1126"/>
      <c r="W43" s="1126"/>
      <c r="X43" s="1126"/>
      <c r="Y43" s="1126"/>
      <c r="Z43" s="1126"/>
      <c r="AA43" s="1126"/>
      <c r="AB43" s="1126"/>
    </row>
    <row r="44" ht="15.75" customHeight="1">
      <c r="B44" s="1126"/>
      <c r="C44" s="1126"/>
      <c r="D44" s="1126"/>
      <c r="E44" s="1126"/>
      <c r="F44" s="1126"/>
      <c r="G44" s="1126"/>
      <c r="H44" s="1126"/>
      <c r="I44" s="1126"/>
      <c r="J44" s="1126"/>
      <c r="K44" s="1126"/>
      <c r="L44" s="1126"/>
      <c r="M44" s="1126"/>
      <c r="N44" s="1126"/>
      <c r="O44" s="1126"/>
      <c r="P44" s="1126"/>
      <c r="Q44" s="1126"/>
      <c r="R44" s="1126"/>
      <c r="S44" s="1126"/>
      <c r="T44" s="1126"/>
      <c r="U44" s="1126"/>
      <c r="V44" s="1126"/>
      <c r="W44" s="1126"/>
      <c r="X44" s="1126"/>
      <c r="Y44" s="1126"/>
      <c r="Z44" s="1126"/>
      <c r="AA44" s="1126"/>
      <c r="AB44" s="1126"/>
    </row>
    <row r="45" ht="15.75" customHeight="1">
      <c r="B45" s="1126"/>
      <c r="C45" s="1126"/>
      <c r="D45" s="1126"/>
      <c r="E45" s="1126"/>
      <c r="F45" s="1126"/>
      <c r="G45" s="1126"/>
      <c r="H45" s="1126"/>
      <c r="I45" s="1126"/>
      <c r="J45" s="1126"/>
      <c r="K45" s="1126"/>
      <c r="L45" s="1126"/>
      <c r="M45" s="1126"/>
      <c r="N45" s="1126"/>
      <c r="O45" s="1126"/>
      <c r="P45" s="1126"/>
      <c r="Q45" s="1126"/>
      <c r="R45" s="1126"/>
      <c r="S45" s="1126"/>
      <c r="T45" s="1126"/>
      <c r="U45" s="1126"/>
      <c r="V45" s="1126"/>
      <c r="W45" s="1126"/>
      <c r="X45" s="1126"/>
      <c r="Y45" s="1126"/>
      <c r="Z45" s="1126"/>
      <c r="AA45" s="1126"/>
      <c r="AB45" s="1126"/>
    </row>
    <row r="46" ht="15.75" customHeight="1">
      <c r="B46" s="1126"/>
      <c r="C46" s="1126"/>
      <c r="D46" s="1126"/>
      <c r="E46" s="1126"/>
      <c r="F46" s="1126"/>
      <c r="G46" s="1126"/>
      <c r="H46" s="1126"/>
      <c r="I46" s="1126"/>
      <c r="J46" s="1126"/>
      <c r="K46" s="1126"/>
      <c r="L46" s="1126"/>
      <c r="M46" s="1126"/>
      <c r="N46" s="1126"/>
      <c r="O46" s="1126"/>
      <c r="P46" s="1126"/>
      <c r="Q46" s="1126"/>
      <c r="R46" s="1126"/>
      <c r="S46" s="1126"/>
      <c r="T46" s="1126"/>
      <c r="U46" s="1126"/>
      <c r="V46" s="1126"/>
      <c r="W46" s="1126"/>
      <c r="X46" s="1126"/>
      <c r="Y46" s="1126"/>
      <c r="Z46" s="1126"/>
      <c r="AA46" s="1126"/>
      <c r="AB46" s="1126"/>
    </row>
    <row r="47" ht="15.75" customHeight="1">
      <c r="B47" s="1126"/>
      <c r="C47" s="1126"/>
      <c r="D47" s="1126"/>
      <c r="E47" s="1126"/>
      <c r="F47" s="1126"/>
      <c r="G47" s="1126"/>
      <c r="H47" s="1126"/>
      <c r="I47" s="1126"/>
      <c r="J47" s="1126"/>
      <c r="K47" s="1126"/>
      <c r="L47" s="1126"/>
      <c r="M47" s="1126"/>
      <c r="N47" s="1126"/>
      <c r="O47" s="1126"/>
      <c r="P47" s="1126"/>
      <c r="Q47" s="1126"/>
      <c r="R47" s="1126"/>
      <c r="S47" s="1126"/>
      <c r="T47" s="1126"/>
      <c r="U47" s="1126"/>
      <c r="V47" s="1126"/>
      <c r="W47" s="1126"/>
      <c r="X47" s="1126"/>
      <c r="Y47" s="1126"/>
      <c r="Z47" s="1126"/>
      <c r="AA47" s="1126"/>
      <c r="AB47" s="1126"/>
    </row>
    <row r="48" ht="15.75" customHeight="1">
      <c r="B48" s="1126"/>
      <c r="C48" s="1126"/>
      <c r="D48" s="1126"/>
      <c r="E48" s="1126"/>
      <c r="F48" s="1126"/>
      <c r="G48" s="1126"/>
      <c r="H48" s="1126"/>
      <c r="I48" s="1126"/>
      <c r="J48" s="1126"/>
      <c r="K48" s="1126"/>
      <c r="L48" s="1126"/>
      <c r="M48" s="1126"/>
      <c r="N48" s="1126"/>
      <c r="O48" s="1126"/>
      <c r="P48" s="1126"/>
      <c r="Q48" s="1126"/>
      <c r="R48" s="1126"/>
      <c r="S48" s="1126"/>
      <c r="T48" s="1126"/>
      <c r="U48" s="1126"/>
      <c r="V48" s="1126"/>
      <c r="W48" s="1126"/>
      <c r="X48" s="1126"/>
      <c r="Y48" s="1126"/>
      <c r="Z48" s="1126"/>
      <c r="AA48" s="1126"/>
      <c r="AB48" s="1126"/>
    </row>
    <row r="49" ht="15.75" customHeight="1">
      <c r="B49" s="1126"/>
      <c r="C49" s="1126"/>
      <c r="D49" s="1126"/>
      <c r="E49" s="1126"/>
      <c r="F49" s="1126"/>
      <c r="G49" s="1126"/>
      <c r="H49" s="1126"/>
      <c r="I49" s="1126"/>
      <c r="J49" s="1126"/>
      <c r="K49" s="1126"/>
      <c r="L49" s="1126"/>
      <c r="M49" s="1126"/>
      <c r="N49" s="1126"/>
      <c r="O49" s="1126"/>
      <c r="P49" s="1126"/>
      <c r="Q49" s="1126"/>
      <c r="R49" s="1126"/>
      <c r="S49" s="1126"/>
      <c r="T49" s="1126"/>
      <c r="U49" s="1126"/>
      <c r="V49" s="1126"/>
      <c r="W49" s="1126"/>
      <c r="X49" s="1126"/>
      <c r="Y49" s="1126"/>
      <c r="Z49" s="1126"/>
      <c r="AA49" s="1126"/>
      <c r="AB49" s="1126"/>
    </row>
    <row r="50" ht="15.75" customHeight="1">
      <c r="B50" s="1126"/>
      <c r="C50" s="1126"/>
      <c r="D50" s="1126"/>
      <c r="E50" s="1126"/>
      <c r="F50" s="1126"/>
      <c r="G50" s="1126"/>
      <c r="H50" s="1126"/>
      <c r="I50" s="1126"/>
      <c r="J50" s="1126"/>
      <c r="K50" s="1126"/>
      <c r="L50" s="1126"/>
      <c r="M50" s="1126"/>
      <c r="N50" s="1126"/>
      <c r="O50" s="1126"/>
      <c r="P50" s="1126"/>
      <c r="Q50" s="1126"/>
      <c r="R50" s="1126"/>
      <c r="S50" s="1126"/>
      <c r="T50" s="1126"/>
      <c r="U50" s="1126"/>
      <c r="V50" s="1126"/>
      <c r="W50" s="1126"/>
      <c r="X50" s="1126"/>
      <c r="Y50" s="1126"/>
      <c r="Z50" s="1126"/>
      <c r="AA50" s="1126"/>
      <c r="AB50" s="1126"/>
    </row>
    <row r="51" ht="15.75" customHeight="1">
      <c r="B51" s="1126"/>
      <c r="C51" s="1126"/>
      <c r="D51" s="1126"/>
      <c r="E51" s="1126"/>
      <c r="F51" s="1126"/>
      <c r="G51" s="1126"/>
      <c r="H51" s="1126"/>
      <c r="I51" s="1126"/>
      <c r="J51" s="1126"/>
      <c r="K51" s="1126"/>
      <c r="L51" s="1126"/>
      <c r="M51" s="1126"/>
      <c r="N51" s="1126"/>
      <c r="O51" s="1126"/>
      <c r="P51" s="1126"/>
      <c r="Q51" s="1126"/>
      <c r="R51" s="1126"/>
      <c r="S51" s="1126"/>
      <c r="T51" s="1126"/>
      <c r="U51" s="1126"/>
      <c r="V51" s="1126"/>
      <c r="W51" s="1126"/>
      <c r="X51" s="1126"/>
      <c r="Y51" s="1126"/>
      <c r="Z51" s="1126"/>
      <c r="AA51" s="1126"/>
      <c r="AB51" s="1126"/>
    </row>
    <row r="52" ht="15.75" customHeight="1">
      <c r="B52" s="1126"/>
      <c r="C52" s="1126"/>
      <c r="D52" s="1126"/>
      <c r="E52" s="1126"/>
      <c r="F52" s="1126"/>
      <c r="G52" s="1126"/>
      <c r="H52" s="1126"/>
      <c r="I52" s="1126"/>
      <c r="J52" s="1126"/>
      <c r="K52" s="1126"/>
      <c r="L52" s="1126"/>
      <c r="M52" s="1126"/>
      <c r="N52" s="1126"/>
      <c r="O52" s="1126"/>
      <c r="P52" s="1126"/>
      <c r="Q52" s="1126"/>
      <c r="R52" s="1126"/>
      <c r="S52" s="1126"/>
      <c r="T52" s="1126"/>
      <c r="U52" s="1126"/>
      <c r="V52" s="1126"/>
      <c r="W52" s="1126"/>
      <c r="X52" s="1126"/>
      <c r="Y52" s="1126"/>
      <c r="Z52" s="1126"/>
      <c r="AA52" s="1126"/>
      <c r="AB52" s="1126"/>
    </row>
    <row r="53" ht="15.75" customHeight="1">
      <c r="B53" s="1126"/>
      <c r="C53" s="1126"/>
      <c r="D53" s="1126"/>
      <c r="E53" s="1126"/>
      <c r="F53" s="1126"/>
      <c r="G53" s="1126"/>
      <c r="H53" s="1126"/>
      <c r="I53" s="1126"/>
      <c r="J53" s="1126"/>
      <c r="K53" s="1126"/>
      <c r="L53" s="1126"/>
      <c r="M53" s="1126"/>
      <c r="N53" s="1126"/>
      <c r="O53" s="1126"/>
      <c r="P53" s="1126"/>
      <c r="Q53" s="1126"/>
      <c r="R53" s="1126"/>
      <c r="S53" s="1126"/>
      <c r="T53" s="1126"/>
      <c r="U53" s="1126"/>
      <c r="V53" s="1126"/>
      <c r="W53" s="1126"/>
      <c r="X53" s="1126"/>
      <c r="Y53" s="1126"/>
      <c r="Z53" s="1126"/>
      <c r="AA53" s="1126"/>
      <c r="AB53" s="1126"/>
    </row>
    <row r="54" ht="15.75" customHeight="1">
      <c r="B54" s="1126"/>
      <c r="C54" s="1126"/>
      <c r="D54" s="1126"/>
      <c r="E54" s="1126"/>
      <c r="F54" s="1126"/>
      <c r="G54" s="1126"/>
      <c r="H54" s="1126"/>
      <c r="I54" s="1126"/>
      <c r="J54" s="1126"/>
      <c r="K54" s="1126"/>
      <c r="L54" s="1126"/>
      <c r="M54" s="1126"/>
      <c r="N54" s="1126"/>
      <c r="O54" s="1126"/>
      <c r="P54" s="1126"/>
      <c r="Q54" s="1126"/>
      <c r="R54" s="1126"/>
      <c r="S54" s="1126"/>
      <c r="T54" s="1126"/>
      <c r="U54" s="1126"/>
      <c r="V54" s="1126"/>
      <c r="W54" s="1126"/>
      <c r="X54" s="1126"/>
      <c r="Y54" s="1126"/>
      <c r="Z54" s="1126"/>
      <c r="AA54" s="1126"/>
      <c r="AB54" s="1126"/>
    </row>
    <row r="55" ht="15.75" customHeight="1">
      <c r="B55" s="1126"/>
      <c r="C55" s="1126"/>
      <c r="D55" s="1126"/>
      <c r="E55" s="1126"/>
      <c r="F55" s="1126"/>
      <c r="G55" s="1126"/>
      <c r="H55" s="1126"/>
      <c r="I55" s="1126"/>
      <c r="J55" s="1126"/>
      <c r="K55" s="1126"/>
      <c r="L55" s="1126"/>
      <c r="M55" s="1126"/>
      <c r="N55" s="1126"/>
      <c r="O55" s="1126"/>
      <c r="P55" s="1126"/>
      <c r="Q55" s="1126"/>
      <c r="R55" s="1126"/>
      <c r="S55" s="1126"/>
      <c r="T55" s="1126"/>
      <c r="U55" s="1126"/>
      <c r="V55" s="1126"/>
      <c r="W55" s="1126"/>
      <c r="X55" s="1126"/>
      <c r="Y55" s="1126"/>
      <c r="Z55" s="1126"/>
      <c r="AA55" s="1126"/>
      <c r="AB55" s="1126"/>
    </row>
    <row r="56" ht="15.75" customHeight="1">
      <c r="B56" s="1126"/>
      <c r="C56" s="1126"/>
      <c r="D56" s="1126"/>
      <c r="E56" s="1126"/>
      <c r="F56" s="1126"/>
      <c r="G56" s="1126"/>
      <c r="H56" s="1126"/>
      <c r="I56" s="1126"/>
      <c r="J56" s="1126"/>
      <c r="K56" s="1126"/>
      <c r="L56" s="1126"/>
      <c r="M56" s="1126"/>
      <c r="N56" s="1126"/>
      <c r="O56" s="1126"/>
      <c r="P56" s="1126"/>
      <c r="Q56" s="1126"/>
      <c r="R56" s="1126"/>
      <c r="S56" s="1126"/>
      <c r="T56" s="1126"/>
      <c r="U56" s="1126"/>
      <c r="V56" s="1126"/>
      <c r="W56" s="1126"/>
      <c r="X56" s="1126"/>
      <c r="Y56" s="1126"/>
      <c r="Z56" s="1126"/>
      <c r="AA56" s="1126"/>
      <c r="AB56" s="1126"/>
    </row>
    <row r="57" ht="15.75" customHeight="1">
      <c r="B57" s="1126"/>
      <c r="C57" s="1126"/>
      <c r="D57" s="1126"/>
      <c r="E57" s="1126"/>
      <c r="F57" s="1126"/>
      <c r="G57" s="1126"/>
      <c r="H57" s="1126"/>
      <c r="I57" s="1126"/>
      <c r="J57" s="1126"/>
      <c r="K57" s="1126"/>
      <c r="L57" s="1126"/>
      <c r="M57" s="1126"/>
      <c r="N57" s="1126"/>
      <c r="O57" s="1126"/>
      <c r="P57" s="1126"/>
      <c r="Q57" s="1126"/>
      <c r="R57" s="1126"/>
      <c r="S57" s="1126"/>
      <c r="T57" s="1126"/>
      <c r="U57" s="1126"/>
      <c r="V57" s="1126"/>
      <c r="W57" s="1126"/>
      <c r="X57" s="1126"/>
      <c r="Y57" s="1126"/>
      <c r="Z57" s="1126"/>
      <c r="AA57" s="1126"/>
      <c r="AB57" s="1126"/>
    </row>
    <row r="58" ht="15.75" customHeight="1">
      <c r="B58" s="1126"/>
      <c r="C58" s="1126"/>
      <c r="D58" s="1126"/>
      <c r="E58" s="1126"/>
      <c r="F58" s="1126"/>
      <c r="G58" s="1126"/>
      <c r="H58" s="1126"/>
      <c r="I58" s="1126"/>
      <c r="J58" s="1126"/>
      <c r="K58" s="1126"/>
      <c r="L58" s="1126"/>
      <c r="M58" s="1126"/>
      <c r="N58" s="1126"/>
      <c r="O58" s="1126"/>
      <c r="P58" s="1126"/>
      <c r="Q58" s="1126"/>
      <c r="R58" s="1126"/>
      <c r="S58" s="1126"/>
      <c r="T58" s="1126"/>
      <c r="U58" s="1126"/>
      <c r="V58" s="1126"/>
      <c r="W58" s="1126"/>
      <c r="X58" s="1126"/>
      <c r="Y58" s="1126"/>
      <c r="Z58" s="1126"/>
      <c r="AA58" s="1126"/>
      <c r="AB58" s="1126"/>
    </row>
    <row r="59" ht="15.75" customHeight="1">
      <c r="B59" s="1126"/>
      <c r="C59" s="1126"/>
      <c r="D59" s="1126"/>
      <c r="E59" s="1126"/>
      <c r="F59" s="1126"/>
      <c r="G59" s="1126"/>
      <c r="H59" s="1126"/>
      <c r="I59" s="1126"/>
      <c r="J59" s="1126"/>
      <c r="K59" s="1126"/>
      <c r="L59" s="1126"/>
      <c r="M59" s="1126"/>
      <c r="N59" s="1126"/>
      <c r="O59" s="1126"/>
      <c r="P59" s="1126"/>
      <c r="Q59" s="1126"/>
      <c r="R59" s="1126"/>
      <c r="S59" s="1126"/>
      <c r="T59" s="1126"/>
      <c r="U59" s="1126"/>
      <c r="V59" s="1126"/>
      <c r="W59" s="1126"/>
      <c r="X59" s="1126"/>
      <c r="Y59" s="1126"/>
      <c r="Z59" s="1126"/>
      <c r="AA59" s="1126"/>
      <c r="AB59" s="1126"/>
    </row>
    <row r="60" ht="15.75" customHeight="1">
      <c r="B60" s="1126"/>
      <c r="C60" s="1126"/>
      <c r="D60" s="1126"/>
      <c r="E60" s="1126"/>
      <c r="F60" s="1126"/>
      <c r="G60" s="1126"/>
      <c r="H60" s="1126"/>
      <c r="I60" s="1126"/>
      <c r="J60" s="1126"/>
      <c r="K60" s="1126"/>
      <c r="L60" s="1126"/>
      <c r="M60" s="1126"/>
      <c r="N60" s="1126"/>
      <c r="O60" s="1126"/>
      <c r="P60" s="1126"/>
      <c r="Q60" s="1126"/>
      <c r="R60" s="1126"/>
      <c r="S60" s="1126"/>
      <c r="T60" s="1126"/>
      <c r="U60" s="1126"/>
      <c r="V60" s="1126"/>
      <c r="W60" s="1126"/>
      <c r="X60" s="1126"/>
      <c r="Y60" s="1126"/>
      <c r="Z60" s="1126"/>
      <c r="AA60" s="1126"/>
      <c r="AB60" s="1126"/>
    </row>
    <row r="61" ht="15.75" customHeight="1">
      <c r="B61" s="1126"/>
      <c r="C61" s="1126"/>
      <c r="D61" s="1126"/>
      <c r="E61" s="1126"/>
      <c r="F61" s="1126"/>
      <c r="G61" s="1126"/>
      <c r="H61" s="1126"/>
      <c r="I61" s="1126"/>
      <c r="J61" s="1126"/>
      <c r="K61" s="1126"/>
      <c r="L61" s="1126"/>
      <c r="M61" s="1126"/>
      <c r="N61" s="1126"/>
      <c r="O61" s="1126"/>
      <c r="P61" s="1126"/>
      <c r="Q61" s="1126"/>
      <c r="R61" s="1126"/>
      <c r="S61" s="1126"/>
      <c r="T61" s="1126"/>
      <c r="U61" s="1126"/>
      <c r="V61" s="1126"/>
      <c r="W61" s="1126"/>
      <c r="X61" s="1126"/>
      <c r="Y61" s="1126"/>
      <c r="Z61" s="1126"/>
      <c r="AA61" s="1126"/>
      <c r="AB61" s="1126"/>
    </row>
    <row r="62" ht="15.75" customHeight="1">
      <c r="B62" s="1126"/>
      <c r="C62" s="1126"/>
      <c r="D62" s="1126"/>
      <c r="E62" s="1126"/>
      <c r="F62" s="1126"/>
      <c r="G62" s="1126"/>
      <c r="H62" s="1126"/>
      <c r="I62" s="1126"/>
      <c r="J62" s="1126"/>
      <c r="K62" s="1126"/>
      <c r="L62" s="1126"/>
      <c r="M62" s="1126"/>
      <c r="N62" s="1126"/>
      <c r="O62" s="1126"/>
      <c r="P62" s="1126"/>
      <c r="Q62" s="1126"/>
      <c r="R62" s="1126"/>
      <c r="S62" s="1126"/>
      <c r="T62" s="1126"/>
      <c r="U62" s="1126"/>
      <c r="V62" s="1126"/>
      <c r="W62" s="1126"/>
      <c r="X62" s="1126"/>
      <c r="Y62" s="1126"/>
      <c r="Z62" s="1126"/>
      <c r="AA62" s="1126"/>
      <c r="AB62" s="1126"/>
    </row>
    <row r="63" ht="15.75" customHeight="1">
      <c r="B63" s="1126"/>
      <c r="C63" s="1126"/>
      <c r="D63" s="1126"/>
      <c r="E63" s="1126"/>
      <c r="F63" s="1126"/>
      <c r="G63" s="1126"/>
      <c r="H63" s="1126"/>
      <c r="I63" s="1126"/>
      <c r="J63" s="1126"/>
      <c r="K63" s="1126"/>
      <c r="L63" s="1126"/>
      <c r="M63" s="1126"/>
      <c r="N63" s="1126"/>
      <c r="O63" s="1126"/>
      <c r="P63" s="1126"/>
      <c r="Q63" s="1126"/>
      <c r="R63" s="1126"/>
      <c r="S63" s="1126"/>
      <c r="T63" s="1126"/>
      <c r="U63" s="1126"/>
      <c r="V63" s="1126"/>
      <c r="W63" s="1126"/>
      <c r="X63" s="1126"/>
      <c r="Y63" s="1126"/>
      <c r="Z63" s="1126"/>
      <c r="AA63" s="1126"/>
      <c r="AB63" s="1126"/>
    </row>
    <row r="64" ht="15.75" customHeight="1">
      <c r="B64" s="1126"/>
      <c r="C64" s="1126"/>
      <c r="D64" s="1126"/>
      <c r="E64" s="1126"/>
      <c r="F64" s="1126"/>
      <c r="G64" s="1126"/>
      <c r="H64" s="1126"/>
      <c r="I64" s="1126"/>
      <c r="J64" s="1126"/>
      <c r="K64" s="1126"/>
      <c r="L64" s="1126"/>
      <c r="M64" s="1126"/>
      <c r="N64" s="1126"/>
      <c r="O64" s="1126"/>
      <c r="P64" s="1126"/>
      <c r="Q64" s="1126"/>
      <c r="R64" s="1126"/>
      <c r="S64" s="1126"/>
      <c r="T64" s="1126"/>
      <c r="U64" s="1126"/>
      <c r="V64" s="1126"/>
      <c r="W64" s="1126"/>
      <c r="X64" s="1126"/>
      <c r="Y64" s="1126"/>
      <c r="Z64" s="1126"/>
      <c r="AA64" s="1126"/>
      <c r="AB64" s="1126"/>
    </row>
    <row r="65" ht="15.75" customHeight="1">
      <c r="B65" s="1126"/>
      <c r="C65" s="1126"/>
      <c r="D65" s="1126"/>
      <c r="E65" s="1126"/>
      <c r="F65" s="1126"/>
      <c r="G65" s="1126"/>
      <c r="H65" s="1126"/>
      <c r="I65" s="1126"/>
      <c r="J65" s="1126"/>
      <c r="K65" s="1126"/>
      <c r="L65" s="1126"/>
      <c r="M65" s="1126"/>
      <c r="N65" s="1126"/>
      <c r="O65" s="1126"/>
      <c r="P65" s="1126"/>
      <c r="Q65" s="1126"/>
      <c r="R65" s="1126"/>
      <c r="S65" s="1126"/>
      <c r="T65" s="1126"/>
      <c r="U65" s="1126"/>
      <c r="V65" s="1126"/>
      <c r="W65" s="1126"/>
      <c r="X65" s="1126"/>
      <c r="Y65" s="1126"/>
      <c r="Z65" s="1126"/>
      <c r="AA65" s="1126"/>
      <c r="AB65" s="1126"/>
    </row>
    <row r="66" ht="15.75" customHeight="1">
      <c r="B66" s="1126"/>
      <c r="C66" s="1126"/>
      <c r="D66" s="1126"/>
      <c r="E66" s="1126"/>
      <c r="F66" s="1126"/>
      <c r="G66" s="1126"/>
      <c r="H66" s="1126"/>
      <c r="I66" s="1126"/>
      <c r="J66" s="1126"/>
      <c r="K66" s="1126"/>
      <c r="L66" s="1126"/>
      <c r="M66" s="1126"/>
      <c r="N66" s="1126"/>
      <c r="O66" s="1126"/>
      <c r="P66" s="1126"/>
      <c r="Q66" s="1126"/>
      <c r="R66" s="1126"/>
      <c r="S66" s="1126"/>
      <c r="T66" s="1126"/>
      <c r="U66" s="1126"/>
      <c r="V66" s="1126"/>
      <c r="W66" s="1126"/>
      <c r="X66" s="1126"/>
      <c r="Y66" s="1126"/>
      <c r="Z66" s="1126"/>
      <c r="AA66" s="1126"/>
      <c r="AB66" s="1126"/>
    </row>
    <row r="67" ht="15.75" customHeight="1">
      <c r="B67" s="1126"/>
      <c r="C67" s="1126"/>
      <c r="D67" s="1126"/>
      <c r="E67" s="1126"/>
      <c r="F67" s="1126"/>
      <c r="G67" s="1126"/>
      <c r="H67" s="1126"/>
      <c r="I67" s="1126"/>
      <c r="J67" s="1126"/>
      <c r="K67" s="1126"/>
      <c r="L67" s="1126"/>
      <c r="M67" s="1126"/>
      <c r="N67" s="1126"/>
      <c r="O67" s="1126"/>
      <c r="P67" s="1126"/>
      <c r="Q67" s="1126"/>
      <c r="R67" s="1126"/>
      <c r="S67" s="1126"/>
      <c r="T67" s="1126"/>
      <c r="U67" s="1126"/>
      <c r="V67" s="1126"/>
      <c r="W67" s="1126"/>
      <c r="X67" s="1126"/>
      <c r="Y67" s="1126"/>
      <c r="Z67" s="1126"/>
      <c r="AA67" s="1126"/>
      <c r="AB67" s="1126"/>
    </row>
    <row r="68" ht="15.75" customHeight="1">
      <c r="B68" s="1126"/>
      <c r="C68" s="1126"/>
      <c r="D68" s="1126"/>
      <c r="E68" s="1126"/>
      <c r="F68" s="1126"/>
      <c r="G68" s="1126"/>
      <c r="H68" s="1126"/>
      <c r="I68" s="1126"/>
      <c r="J68" s="1126"/>
      <c r="K68" s="1126"/>
      <c r="L68" s="1126"/>
      <c r="M68" s="1126"/>
      <c r="N68" s="1126"/>
      <c r="O68" s="1126"/>
      <c r="P68" s="1126"/>
      <c r="Q68" s="1126"/>
      <c r="R68" s="1126"/>
      <c r="S68" s="1126"/>
      <c r="T68" s="1126"/>
      <c r="U68" s="1126"/>
      <c r="V68" s="1126"/>
      <c r="W68" s="1126"/>
      <c r="X68" s="1126"/>
      <c r="Y68" s="1126"/>
      <c r="Z68" s="1126"/>
      <c r="AA68" s="1126"/>
      <c r="AB68" s="1126"/>
    </row>
    <row r="69" ht="15.75" customHeight="1">
      <c r="B69" s="1126"/>
      <c r="C69" s="1126"/>
      <c r="D69" s="1126"/>
      <c r="E69" s="1126"/>
      <c r="F69" s="1126"/>
      <c r="G69" s="1126"/>
      <c r="H69" s="1126"/>
      <c r="I69" s="1126"/>
      <c r="J69" s="1126"/>
      <c r="K69" s="1126"/>
      <c r="L69" s="1126"/>
      <c r="M69" s="1126"/>
      <c r="N69" s="1126"/>
      <c r="O69" s="1126"/>
      <c r="P69" s="1126"/>
      <c r="Q69" s="1126"/>
      <c r="R69" s="1126"/>
      <c r="S69" s="1126"/>
      <c r="T69" s="1126"/>
      <c r="U69" s="1126"/>
      <c r="V69" s="1126"/>
      <c r="W69" s="1126"/>
      <c r="X69" s="1126"/>
      <c r="Y69" s="1126"/>
      <c r="Z69" s="1126"/>
      <c r="AA69" s="1126"/>
      <c r="AB69" s="1126"/>
    </row>
    <row r="70" ht="15.75" customHeight="1">
      <c r="B70" s="1126"/>
      <c r="C70" s="1126"/>
      <c r="D70" s="1126"/>
      <c r="E70" s="1126"/>
      <c r="F70" s="1126"/>
      <c r="G70" s="1126"/>
      <c r="H70" s="1126"/>
      <c r="I70" s="1126"/>
      <c r="J70" s="1126"/>
      <c r="K70" s="1126"/>
      <c r="L70" s="1126"/>
      <c r="M70" s="1126"/>
      <c r="N70" s="1126"/>
      <c r="O70" s="1126"/>
      <c r="P70" s="1126"/>
      <c r="Q70" s="1126"/>
      <c r="R70" s="1126"/>
      <c r="S70" s="1126"/>
      <c r="T70" s="1126"/>
      <c r="U70" s="1126"/>
      <c r="V70" s="1126"/>
      <c r="W70" s="1126"/>
      <c r="X70" s="1126"/>
      <c r="Y70" s="1126"/>
      <c r="Z70" s="1126"/>
      <c r="AA70" s="1126"/>
      <c r="AB70" s="1126"/>
    </row>
    <row r="71" ht="15.75" customHeight="1">
      <c r="B71" s="1126"/>
      <c r="C71" s="1126"/>
      <c r="D71" s="1126"/>
      <c r="E71" s="1126"/>
      <c r="F71" s="1126"/>
      <c r="G71" s="1126"/>
      <c r="H71" s="1126"/>
      <c r="I71" s="1126"/>
      <c r="J71" s="1126"/>
      <c r="K71" s="1126"/>
      <c r="L71" s="1126"/>
      <c r="M71" s="1126"/>
      <c r="N71" s="1126"/>
      <c r="O71" s="1126"/>
      <c r="P71" s="1126"/>
      <c r="Q71" s="1126"/>
      <c r="R71" s="1126"/>
      <c r="S71" s="1126"/>
      <c r="T71" s="1126"/>
      <c r="U71" s="1126"/>
      <c r="V71" s="1126"/>
      <c r="W71" s="1126"/>
      <c r="X71" s="1126"/>
      <c r="Y71" s="1126"/>
      <c r="Z71" s="1126"/>
      <c r="AA71" s="1126"/>
      <c r="AB71" s="1126"/>
    </row>
    <row r="72" ht="15.75" customHeight="1">
      <c r="B72" s="1126"/>
      <c r="C72" s="1126"/>
      <c r="D72" s="1126"/>
      <c r="E72" s="1126"/>
      <c r="F72" s="1126"/>
      <c r="G72" s="1126"/>
      <c r="H72" s="1126"/>
      <c r="I72" s="1126"/>
      <c r="J72" s="1126"/>
      <c r="K72" s="1126"/>
      <c r="L72" s="1126"/>
      <c r="M72" s="1126"/>
      <c r="N72" s="1126"/>
      <c r="O72" s="1126"/>
      <c r="P72" s="1126"/>
      <c r="Q72" s="1126"/>
      <c r="R72" s="1126"/>
      <c r="S72" s="1126"/>
      <c r="T72" s="1126"/>
      <c r="U72" s="1126"/>
      <c r="V72" s="1126"/>
      <c r="W72" s="1126"/>
      <c r="X72" s="1126"/>
      <c r="Y72" s="1126"/>
      <c r="Z72" s="1126"/>
      <c r="AA72" s="1126"/>
      <c r="AB72" s="1126"/>
    </row>
    <row r="73" ht="15.75" customHeight="1">
      <c r="B73" s="1126"/>
      <c r="C73" s="1126"/>
      <c r="D73" s="1126"/>
      <c r="E73" s="1126"/>
      <c r="F73" s="1126"/>
      <c r="G73" s="1126"/>
      <c r="H73" s="1126"/>
      <c r="I73" s="1126"/>
      <c r="J73" s="1126"/>
      <c r="K73" s="1126"/>
      <c r="L73" s="1126"/>
      <c r="M73" s="1126"/>
      <c r="N73" s="1126"/>
      <c r="O73" s="1126"/>
      <c r="P73" s="1126"/>
      <c r="Q73" s="1126"/>
      <c r="R73" s="1126"/>
      <c r="S73" s="1126"/>
      <c r="T73" s="1126"/>
      <c r="U73" s="1126"/>
      <c r="V73" s="1126"/>
      <c r="W73" s="1126"/>
      <c r="X73" s="1126"/>
      <c r="Y73" s="1126"/>
      <c r="Z73" s="1126"/>
      <c r="AA73" s="1126"/>
      <c r="AB73" s="1126"/>
    </row>
    <row r="74" ht="15.75" customHeight="1">
      <c r="B74" s="1126"/>
      <c r="C74" s="1126"/>
      <c r="D74" s="1126"/>
      <c r="E74" s="1126"/>
      <c r="F74" s="1126"/>
      <c r="G74" s="1126"/>
      <c r="H74" s="1126"/>
      <c r="I74" s="1126"/>
      <c r="J74" s="1126"/>
      <c r="K74" s="1126"/>
      <c r="L74" s="1126"/>
      <c r="M74" s="1126"/>
      <c r="N74" s="1126"/>
      <c r="O74" s="1126"/>
      <c r="P74" s="1126"/>
      <c r="Q74" s="1126"/>
      <c r="R74" s="1126"/>
      <c r="S74" s="1126"/>
      <c r="T74" s="1126"/>
      <c r="U74" s="1126"/>
      <c r="V74" s="1126"/>
      <c r="W74" s="1126"/>
      <c r="X74" s="1126"/>
      <c r="Y74" s="1126"/>
      <c r="Z74" s="1126"/>
      <c r="AA74" s="1126"/>
      <c r="AB74" s="1126"/>
    </row>
    <row r="75" ht="15.75" customHeight="1">
      <c r="B75" s="1126"/>
      <c r="C75" s="1126"/>
      <c r="D75" s="1126"/>
      <c r="E75" s="1126"/>
      <c r="F75" s="1126"/>
      <c r="G75" s="1126"/>
      <c r="H75" s="1126"/>
      <c r="I75" s="1126"/>
      <c r="J75" s="1126"/>
      <c r="K75" s="1126"/>
      <c r="L75" s="1126"/>
      <c r="M75" s="1126"/>
      <c r="N75" s="1126"/>
      <c r="O75" s="1126"/>
      <c r="P75" s="1126"/>
      <c r="Q75" s="1126"/>
      <c r="R75" s="1126"/>
      <c r="S75" s="1126"/>
      <c r="T75" s="1126"/>
      <c r="U75" s="1126"/>
      <c r="V75" s="1126"/>
      <c r="W75" s="1126"/>
      <c r="X75" s="1126"/>
      <c r="Y75" s="1126"/>
      <c r="Z75" s="1126"/>
      <c r="AA75" s="1126"/>
      <c r="AB75" s="1126"/>
    </row>
    <row r="76" ht="15.75" customHeight="1">
      <c r="B76" s="1126"/>
      <c r="C76" s="1126"/>
      <c r="D76" s="1126"/>
      <c r="E76" s="1126"/>
      <c r="F76" s="1126"/>
      <c r="G76" s="1126"/>
      <c r="H76" s="1126"/>
      <c r="I76" s="1126"/>
      <c r="J76" s="1126"/>
      <c r="K76" s="1126"/>
      <c r="L76" s="1126"/>
      <c r="M76" s="1126"/>
      <c r="N76" s="1126"/>
      <c r="O76" s="1126"/>
      <c r="P76" s="1126"/>
      <c r="Q76" s="1126"/>
      <c r="R76" s="1126"/>
      <c r="S76" s="1126"/>
      <c r="T76" s="1126"/>
      <c r="U76" s="1126"/>
      <c r="V76" s="1126"/>
      <c r="W76" s="1126"/>
      <c r="X76" s="1126"/>
      <c r="Y76" s="1126"/>
      <c r="Z76" s="1126"/>
      <c r="AA76" s="1126"/>
      <c r="AB76" s="1126"/>
    </row>
    <row r="77" ht="15.75" customHeight="1">
      <c r="B77" s="1126"/>
      <c r="C77" s="1126"/>
      <c r="D77" s="1126"/>
      <c r="E77" s="1126"/>
      <c r="F77" s="1126"/>
      <c r="G77" s="1126"/>
      <c r="H77" s="1126"/>
      <c r="I77" s="1126"/>
      <c r="J77" s="1126"/>
      <c r="K77" s="1126"/>
      <c r="L77" s="1126"/>
      <c r="M77" s="1126"/>
      <c r="N77" s="1126"/>
      <c r="O77" s="1126"/>
      <c r="P77" s="1126"/>
      <c r="Q77" s="1126"/>
      <c r="R77" s="1126"/>
      <c r="S77" s="1126"/>
      <c r="T77" s="1126"/>
      <c r="U77" s="1126"/>
      <c r="V77" s="1126"/>
      <c r="W77" s="1126"/>
      <c r="X77" s="1126"/>
      <c r="Y77" s="1126"/>
      <c r="Z77" s="1126"/>
      <c r="AA77" s="1126"/>
      <c r="AB77" s="1126"/>
    </row>
    <row r="78" ht="15.75" customHeight="1">
      <c r="B78" s="1126"/>
      <c r="C78" s="1126"/>
      <c r="D78" s="1126"/>
      <c r="E78" s="1126"/>
      <c r="F78" s="1126"/>
      <c r="G78" s="1126"/>
      <c r="H78" s="1126"/>
      <c r="I78" s="1126"/>
      <c r="J78" s="1126"/>
      <c r="K78" s="1126"/>
      <c r="L78" s="1126"/>
      <c r="M78" s="1126"/>
      <c r="N78" s="1126"/>
      <c r="O78" s="1126"/>
      <c r="P78" s="1126"/>
      <c r="Q78" s="1126"/>
      <c r="R78" s="1126"/>
      <c r="S78" s="1126"/>
      <c r="T78" s="1126"/>
      <c r="U78" s="1126"/>
      <c r="V78" s="1126"/>
      <c r="W78" s="1126"/>
      <c r="X78" s="1126"/>
      <c r="Y78" s="1126"/>
      <c r="Z78" s="1126"/>
      <c r="AA78" s="1126"/>
      <c r="AB78" s="1126"/>
    </row>
    <row r="79" ht="15.75" customHeight="1">
      <c r="B79" s="1126"/>
      <c r="C79" s="1126"/>
      <c r="D79" s="1126"/>
      <c r="E79" s="1126"/>
      <c r="F79" s="1126"/>
      <c r="G79" s="1126"/>
      <c r="H79" s="1126"/>
      <c r="I79" s="1126"/>
      <c r="J79" s="1126"/>
      <c r="K79" s="1126"/>
      <c r="L79" s="1126"/>
      <c r="M79" s="1126"/>
      <c r="N79" s="1126"/>
      <c r="O79" s="1126"/>
      <c r="P79" s="1126"/>
      <c r="Q79" s="1126"/>
      <c r="R79" s="1126"/>
      <c r="S79" s="1126"/>
      <c r="T79" s="1126"/>
      <c r="U79" s="1126"/>
      <c r="V79" s="1126"/>
      <c r="W79" s="1126"/>
      <c r="X79" s="1126"/>
      <c r="Y79" s="1126"/>
      <c r="Z79" s="1126"/>
      <c r="AA79" s="1126"/>
      <c r="AB79" s="1126"/>
    </row>
    <row r="80" ht="15.75" customHeight="1">
      <c r="B80" s="1126"/>
      <c r="C80" s="1126"/>
      <c r="D80" s="1126"/>
      <c r="E80" s="1126"/>
      <c r="F80" s="1126"/>
      <c r="G80" s="1126"/>
      <c r="H80" s="1126"/>
      <c r="I80" s="1126"/>
      <c r="J80" s="1126"/>
      <c r="K80" s="1126"/>
      <c r="L80" s="1126"/>
      <c r="M80" s="1126"/>
      <c r="N80" s="1126"/>
      <c r="O80" s="1126"/>
      <c r="P80" s="1126"/>
      <c r="Q80" s="1126"/>
      <c r="R80" s="1126"/>
      <c r="S80" s="1126"/>
      <c r="T80" s="1126"/>
      <c r="U80" s="1126"/>
      <c r="V80" s="1126"/>
      <c r="W80" s="1126"/>
      <c r="X80" s="1126"/>
      <c r="Y80" s="1126"/>
      <c r="Z80" s="1126"/>
      <c r="AA80" s="1126"/>
      <c r="AB80" s="1126"/>
    </row>
    <row r="81" ht="15.75" customHeight="1">
      <c r="B81" s="1126"/>
      <c r="C81" s="1126"/>
      <c r="D81" s="1126"/>
      <c r="E81" s="1126"/>
      <c r="F81" s="1126"/>
      <c r="G81" s="1126"/>
      <c r="H81" s="1126"/>
      <c r="I81" s="1126"/>
      <c r="J81" s="1126"/>
      <c r="K81" s="1126"/>
      <c r="L81" s="1126"/>
      <c r="M81" s="1126"/>
      <c r="N81" s="1126"/>
      <c r="O81" s="1126"/>
      <c r="P81" s="1126"/>
      <c r="Q81" s="1126"/>
      <c r="R81" s="1126"/>
      <c r="S81" s="1126"/>
      <c r="T81" s="1126"/>
      <c r="U81" s="1126"/>
      <c r="V81" s="1126"/>
      <c r="W81" s="1126"/>
      <c r="X81" s="1126"/>
      <c r="Y81" s="1126"/>
      <c r="Z81" s="1126"/>
      <c r="AA81" s="1126"/>
      <c r="AB81" s="1126"/>
    </row>
    <row r="82" ht="15.75" customHeight="1">
      <c r="B82" s="1126"/>
      <c r="C82" s="1126"/>
      <c r="D82" s="1126"/>
      <c r="E82" s="1126"/>
      <c r="F82" s="1126"/>
      <c r="G82" s="1126"/>
      <c r="H82" s="1126"/>
      <c r="I82" s="1126"/>
      <c r="J82" s="1126"/>
      <c r="K82" s="1126"/>
      <c r="L82" s="1126"/>
      <c r="M82" s="1126"/>
      <c r="N82" s="1126"/>
      <c r="O82" s="1126"/>
      <c r="P82" s="1126"/>
      <c r="Q82" s="1126"/>
      <c r="R82" s="1126"/>
      <c r="S82" s="1126"/>
      <c r="T82" s="1126"/>
      <c r="U82" s="1126"/>
      <c r="V82" s="1126"/>
      <c r="W82" s="1126"/>
      <c r="X82" s="1126"/>
      <c r="Y82" s="1126"/>
      <c r="Z82" s="1126"/>
      <c r="AA82" s="1126"/>
      <c r="AB82" s="1126"/>
    </row>
    <row r="83" ht="15.75" customHeight="1">
      <c r="B83" s="1126"/>
      <c r="C83" s="1126"/>
      <c r="D83" s="1126"/>
      <c r="E83" s="1126"/>
      <c r="F83" s="1126"/>
      <c r="G83" s="1126"/>
      <c r="H83" s="1126"/>
      <c r="I83" s="1126"/>
      <c r="J83" s="1126"/>
      <c r="K83" s="1126"/>
      <c r="L83" s="1126"/>
      <c r="M83" s="1126"/>
      <c r="N83" s="1126"/>
      <c r="O83" s="1126"/>
      <c r="P83" s="1126"/>
      <c r="Q83" s="1126"/>
      <c r="R83" s="1126"/>
      <c r="S83" s="1126"/>
      <c r="T83" s="1126"/>
      <c r="U83" s="1126"/>
      <c r="V83" s="1126"/>
      <c r="W83" s="1126"/>
      <c r="X83" s="1126"/>
      <c r="Y83" s="1126"/>
      <c r="Z83" s="1126"/>
      <c r="AA83" s="1126"/>
      <c r="AB83" s="1126"/>
    </row>
    <row r="84" ht="15.75" customHeight="1">
      <c r="B84" s="1126"/>
      <c r="C84" s="1126"/>
      <c r="D84" s="1126"/>
      <c r="E84" s="1126"/>
      <c r="F84" s="1126"/>
      <c r="G84" s="1126"/>
      <c r="H84" s="1126"/>
      <c r="I84" s="1126"/>
      <c r="J84" s="1126"/>
      <c r="K84" s="1126"/>
      <c r="L84" s="1126"/>
      <c r="M84" s="1126"/>
      <c r="N84" s="1126"/>
      <c r="O84" s="1126"/>
      <c r="P84" s="1126"/>
      <c r="Q84" s="1126"/>
      <c r="R84" s="1126"/>
      <c r="S84" s="1126"/>
      <c r="T84" s="1126"/>
      <c r="U84" s="1126"/>
      <c r="V84" s="1126"/>
      <c r="W84" s="1126"/>
      <c r="X84" s="1126"/>
      <c r="Y84" s="1126"/>
      <c r="Z84" s="1126"/>
      <c r="AA84" s="1126"/>
      <c r="AB84" s="1126"/>
    </row>
    <row r="85" ht="15.75" customHeight="1">
      <c r="B85" s="1126"/>
      <c r="C85" s="1126"/>
      <c r="D85" s="1126"/>
      <c r="E85" s="1126"/>
      <c r="F85" s="1126"/>
      <c r="G85" s="1126"/>
      <c r="H85" s="1126"/>
      <c r="I85" s="1126"/>
      <c r="J85" s="1126"/>
      <c r="K85" s="1126"/>
      <c r="L85" s="1126"/>
      <c r="M85" s="1126"/>
      <c r="N85" s="1126"/>
      <c r="O85" s="1126"/>
      <c r="P85" s="1126"/>
      <c r="Q85" s="1126"/>
      <c r="R85" s="1126"/>
      <c r="S85" s="1126"/>
      <c r="T85" s="1126"/>
      <c r="U85" s="1126"/>
      <c r="V85" s="1126"/>
      <c r="W85" s="1126"/>
      <c r="X85" s="1126"/>
      <c r="Y85" s="1126"/>
      <c r="Z85" s="1126"/>
      <c r="AA85" s="1126"/>
      <c r="AB85" s="1126"/>
    </row>
    <row r="86" ht="15.75" customHeight="1">
      <c r="B86" s="1126"/>
      <c r="C86" s="1126"/>
      <c r="D86" s="1126"/>
      <c r="E86" s="1126"/>
      <c r="F86" s="1126"/>
      <c r="G86" s="1126"/>
      <c r="H86" s="1126"/>
      <c r="I86" s="1126"/>
      <c r="J86" s="1126"/>
      <c r="K86" s="1126"/>
      <c r="L86" s="1126"/>
      <c r="M86" s="1126"/>
      <c r="N86" s="1126"/>
      <c r="O86" s="1126"/>
      <c r="P86" s="1126"/>
      <c r="Q86" s="1126"/>
      <c r="R86" s="1126"/>
      <c r="S86" s="1126"/>
      <c r="T86" s="1126"/>
      <c r="U86" s="1126"/>
      <c r="V86" s="1126"/>
      <c r="W86" s="1126"/>
      <c r="X86" s="1126"/>
      <c r="Y86" s="1126"/>
      <c r="Z86" s="1126"/>
      <c r="AA86" s="1126"/>
      <c r="AB86" s="1126"/>
    </row>
    <row r="87" ht="15.75" customHeight="1">
      <c r="B87" s="1126"/>
      <c r="C87" s="1126"/>
      <c r="D87" s="1126"/>
      <c r="E87" s="1126"/>
      <c r="F87" s="1126"/>
      <c r="G87" s="1126"/>
      <c r="H87" s="1126"/>
      <c r="I87" s="1126"/>
      <c r="J87" s="1126"/>
      <c r="K87" s="1126"/>
      <c r="L87" s="1126"/>
      <c r="M87" s="1126"/>
      <c r="N87" s="1126"/>
      <c r="O87" s="1126"/>
      <c r="P87" s="1126"/>
      <c r="Q87" s="1126"/>
      <c r="R87" s="1126"/>
      <c r="S87" s="1126"/>
      <c r="T87" s="1126"/>
      <c r="U87" s="1126"/>
      <c r="V87" s="1126"/>
      <c r="W87" s="1126"/>
      <c r="X87" s="1126"/>
      <c r="Y87" s="1126"/>
      <c r="Z87" s="1126"/>
      <c r="AA87" s="1126"/>
      <c r="AB87" s="1126"/>
    </row>
    <row r="88" ht="15.75" customHeight="1">
      <c r="B88" s="1126"/>
      <c r="C88" s="1126"/>
      <c r="D88" s="1126"/>
      <c r="E88" s="1126"/>
      <c r="F88" s="1126"/>
      <c r="G88" s="1126"/>
      <c r="H88" s="1126"/>
      <c r="I88" s="1126"/>
      <c r="J88" s="1126"/>
      <c r="K88" s="1126"/>
      <c r="L88" s="1126"/>
      <c r="M88" s="1126"/>
      <c r="N88" s="1126"/>
      <c r="O88" s="1126"/>
      <c r="P88" s="1126"/>
      <c r="Q88" s="1126"/>
      <c r="R88" s="1126"/>
      <c r="S88" s="1126"/>
      <c r="T88" s="1126"/>
      <c r="U88" s="1126"/>
      <c r="V88" s="1126"/>
      <c r="W88" s="1126"/>
      <c r="X88" s="1126"/>
      <c r="Y88" s="1126"/>
      <c r="Z88" s="1126"/>
      <c r="AA88" s="1126"/>
      <c r="AB88" s="1126"/>
    </row>
    <row r="89" ht="15.75" customHeight="1">
      <c r="B89" s="1126"/>
      <c r="C89" s="1126"/>
      <c r="D89" s="1126"/>
      <c r="E89" s="1126"/>
      <c r="F89" s="1126"/>
      <c r="G89" s="1126"/>
      <c r="H89" s="1126"/>
      <c r="I89" s="1126"/>
      <c r="J89" s="1126"/>
      <c r="K89" s="1126"/>
      <c r="L89" s="1126"/>
      <c r="M89" s="1126"/>
      <c r="N89" s="1126"/>
      <c r="O89" s="1126"/>
      <c r="P89" s="1126"/>
      <c r="Q89" s="1126"/>
      <c r="R89" s="1126"/>
      <c r="S89" s="1126"/>
      <c r="T89" s="1126"/>
      <c r="U89" s="1126"/>
      <c r="V89" s="1126"/>
      <c r="W89" s="1126"/>
      <c r="X89" s="1126"/>
      <c r="Y89" s="1126"/>
      <c r="Z89" s="1126"/>
      <c r="AA89" s="1126"/>
      <c r="AB89" s="1126"/>
    </row>
    <row r="90" ht="15.75" customHeight="1">
      <c r="B90" s="1126"/>
      <c r="C90" s="1126"/>
      <c r="D90" s="1126"/>
      <c r="E90" s="1126"/>
      <c r="F90" s="1126"/>
      <c r="G90" s="1126"/>
      <c r="H90" s="1126"/>
      <c r="I90" s="1126"/>
      <c r="J90" s="1126"/>
      <c r="K90" s="1126"/>
      <c r="L90" s="1126"/>
      <c r="M90" s="1126"/>
      <c r="N90" s="1126"/>
      <c r="O90" s="1126"/>
      <c r="P90" s="1126"/>
      <c r="Q90" s="1126"/>
      <c r="R90" s="1126"/>
      <c r="S90" s="1126"/>
      <c r="T90" s="1126"/>
      <c r="U90" s="1126"/>
      <c r="V90" s="1126"/>
      <c r="W90" s="1126"/>
      <c r="X90" s="1126"/>
      <c r="Y90" s="1126"/>
      <c r="Z90" s="1126"/>
      <c r="AA90" s="1126"/>
      <c r="AB90" s="1126"/>
    </row>
    <row r="91" ht="15.75" customHeight="1">
      <c r="B91" s="1126"/>
      <c r="C91" s="1126"/>
      <c r="D91" s="1126"/>
      <c r="E91" s="1126"/>
      <c r="F91" s="1126"/>
      <c r="G91" s="1126"/>
      <c r="H91" s="1126"/>
      <c r="I91" s="1126"/>
      <c r="J91" s="1126"/>
      <c r="K91" s="1126"/>
      <c r="L91" s="1126"/>
      <c r="M91" s="1126"/>
      <c r="N91" s="1126"/>
      <c r="O91" s="1126"/>
      <c r="P91" s="1126"/>
      <c r="Q91" s="1126"/>
      <c r="R91" s="1126"/>
      <c r="S91" s="1126"/>
      <c r="T91" s="1126"/>
      <c r="U91" s="1126"/>
      <c r="V91" s="1126"/>
      <c r="W91" s="1126"/>
      <c r="X91" s="1126"/>
      <c r="Y91" s="1126"/>
      <c r="Z91" s="1126"/>
      <c r="AA91" s="1126"/>
      <c r="AB91" s="1126"/>
    </row>
    <row r="92" ht="15.75" customHeight="1">
      <c r="B92" s="1126"/>
      <c r="C92" s="1126"/>
      <c r="D92" s="1126"/>
      <c r="E92" s="1126"/>
      <c r="F92" s="1126"/>
      <c r="G92" s="1126"/>
      <c r="H92" s="1126"/>
      <c r="I92" s="1126"/>
      <c r="J92" s="1126"/>
      <c r="K92" s="1126"/>
      <c r="L92" s="1126"/>
      <c r="M92" s="1126"/>
      <c r="N92" s="1126"/>
      <c r="O92" s="1126"/>
      <c r="P92" s="1126"/>
      <c r="Q92" s="1126"/>
      <c r="R92" s="1126"/>
      <c r="S92" s="1126"/>
      <c r="T92" s="1126"/>
      <c r="U92" s="1126"/>
      <c r="V92" s="1126"/>
      <c r="W92" s="1126"/>
      <c r="X92" s="1126"/>
      <c r="Y92" s="1126"/>
      <c r="Z92" s="1126"/>
      <c r="AA92" s="1126"/>
      <c r="AB92" s="1126"/>
    </row>
    <row r="93" ht="15.75" customHeight="1">
      <c r="B93" s="1126"/>
      <c r="C93" s="1126"/>
      <c r="D93" s="1126"/>
      <c r="E93" s="1126"/>
      <c r="F93" s="1126"/>
      <c r="G93" s="1126"/>
      <c r="H93" s="1126"/>
      <c r="I93" s="1126"/>
      <c r="J93" s="1126"/>
      <c r="K93" s="1126"/>
      <c r="L93" s="1126"/>
      <c r="M93" s="1126"/>
      <c r="N93" s="1126"/>
      <c r="O93" s="1126"/>
      <c r="P93" s="1126"/>
      <c r="Q93" s="1126"/>
      <c r="R93" s="1126"/>
      <c r="S93" s="1126"/>
      <c r="T93" s="1126"/>
      <c r="U93" s="1126"/>
      <c r="V93" s="1126"/>
      <c r="W93" s="1126"/>
      <c r="X93" s="1126"/>
      <c r="Y93" s="1126"/>
      <c r="Z93" s="1126"/>
      <c r="AA93" s="1126"/>
      <c r="AB93" s="1126"/>
    </row>
    <row r="94" ht="15.75" customHeight="1">
      <c r="B94" s="1126"/>
      <c r="C94" s="1126"/>
      <c r="D94" s="1126"/>
      <c r="E94" s="1126"/>
      <c r="F94" s="1126"/>
      <c r="G94" s="1126"/>
      <c r="H94" s="1126"/>
      <c r="I94" s="1126"/>
      <c r="J94" s="1126"/>
      <c r="K94" s="1126"/>
      <c r="L94" s="1126"/>
      <c r="M94" s="1126"/>
      <c r="N94" s="1126"/>
      <c r="O94" s="1126"/>
      <c r="P94" s="1126"/>
      <c r="Q94" s="1126"/>
      <c r="R94" s="1126"/>
      <c r="S94" s="1126"/>
      <c r="T94" s="1126"/>
      <c r="U94" s="1126"/>
      <c r="V94" s="1126"/>
      <c r="W94" s="1126"/>
      <c r="X94" s="1126"/>
      <c r="Y94" s="1126"/>
      <c r="Z94" s="1126"/>
      <c r="AA94" s="1126"/>
      <c r="AB94" s="1126"/>
    </row>
    <row r="95" ht="15.75" customHeight="1">
      <c r="B95" s="1126"/>
      <c r="C95" s="1126"/>
      <c r="D95" s="1126"/>
      <c r="E95" s="1126"/>
      <c r="F95" s="1126"/>
      <c r="G95" s="1126"/>
      <c r="H95" s="1126"/>
      <c r="I95" s="1126"/>
      <c r="J95" s="1126"/>
      <c r="K95" s="1126"/>
      <c r="L95" s="1126"/>
      <c r="M95" s="1126"/>
      <c r="N95" s="1126"/>
      <c r="O95" s="1126"/>
      <c r="P95" s="1126"/>
      <c r="Q95" s="1126"/>
      <c r="R95" s="1126"/>
      <c r="S95" s="1126"/>
      <c r="T95" s="1126"/>
      <c r="U95" s="1126"/>
      <c r="V95" s="1126"/>
      <c r="W95" s="1126"/>
      <c r="X95" s="1126"/>
      <c r="Y95" s="1126"/>
      <c r="Z95" s="1126"/>
      <c r="AA95" s="1126"/>
      <c r="AB95" s="1126"/>
    </row>
    <row r="96" ht="15.75" customHeight="1">
      <c r="B96" s="1126"/>
      <c r="C96" s="1126"/>
      <c r="D96" s="1126"/>
      <c r="E96" s="1126"/>
      <c r="F96" s="1126"/>
      <c r="G96" s="1126"/>
      <c r="H96" s="1126"/>
      <c r="I96" s="1126"/>
      <c r="J96" s="1126"/>
      <c r="K96" s="1126"/>
      <c r="L96" s="1126"/>
      <c r="M96" s="1126"/>
      <c r="N96" s="1126"/>
      <c r="O96" s="1126"/>
      <c r="P96" s="1126"/>
      <c r="Q96" s="1126"/>
      <c r="R96" s="1126"/>
      <c r="S96" s="1126"/>
      <c r="T96" s="1126"/>
      <c r="U96" s="1126"/>
      <c r="V96" s="1126"/>
      <c r="W96" s="1126"/>
      <c r="X96" s="1126"/>
      <c r="Y96" s="1126"/>
      <c r="Z96" s="1126"/>
      <c r="AA96" s="1126"/>
      <c r="AB96" s="1126"/>
    </row>
    <row r="97" ht="15.75" customHeight="1">
      <c r="B97" s="1126"/>
      <c r="C97" s="1126"/>
      <c r="D97" s="1126"/>
      <c r="E97" s="1126"/>
      <c r="F97" s="1126"/>
      <c r="G97" s="1126"/>
      <c r="H97" s="1126"/>
      <c r="I97" s="1126"/>
      <c r="J97" s="1126"/>
      <c r="K97" s="1126"/>
      <c r="L97" s="1126"/>
      <c r="M97" s="1126"/>
      <c r="N97" s="1126"/>
      <c r="O97" s="1126"/>
      <c r="P97" s="1126"/>
      <c r="Q97" s="1126"/>
      <c r="R97" s="1126"/>
      <c r="S97" s="1126"/>
      <c r="T97" s="1126"/>
      <c r="U97" s="1126"/>
      <c r="V97" s="1126"/>
      <c r="W97" s="1126"/>
      <c r="X97" s="1126"/>
      <c r="Y97" s="1126"/>
      <c r="Z97" s="1126"/>
      <c r="AA97" s="1126"/>
      <c r="AB97" s="1126"/>
    </row>
    <row r="98" ht="15.75" customHeight="1">
      <c r="B98" s="1126"/>
      <c r="C98" s="1126"/>
      <c r="D98" s="1126"/>
      <c r="E98" s="1126"/>
      <c r="F98" s="1126"/>
      <c r="G98" s="1126"/>
      <c r="H98" s="1126"/>
      <c r="I98" s="1126"/>
      <c r="J98" s="1126"/>
      <c r="K98" s="1126"/>
      <c r="L98" s="1126"/>
      <c r="M98" s="1126"/>
      <c r="N98" s="1126"/>
      <c r="O98" s="1126"/>
      <c r="P98" s="1126"/>
      <c r="Q98" s="1126"/>
      <c r="R98" s="1126"/>
      <c r="S98" s="1126"/>
      <c r="T98" s="1126"/>
      <c r="U98" s="1126"/>
      <c r="V98" s="1126"/>
      <c r="W98" s="1126"/>
      <c r="X98" s="1126"/>
      <c r="Y98" s="1126"/>
      <c r="Z98" s="1126"/>
      <c r="AA98" s="1126"/>
      <c r="AB98" s="1126"/>
    </row>
    <row r="99" ht="15.75" customHeight="1">
      <c r="B99" s="1126"/>
      <c r="C99" s="1126"/>
      <c r="D99" s="1126"/>
      <c r="E99" s="1126"/>
      <c r="F99" s="1126"/>
      <c r="G99" s="1126"/>
      <c r="H99" s="1126"/>
      <c r="I99" s="1126"/>
      <c r="J99" s="1126"/>
      <c r="K99" s="1126"/>
      <c r="L99" s="1126"/>
      <c r="M99" s="1126"/>
      <c r="N99" s="1126"/>
      <c r="O99" s="1126"/>
      <c r="P99" s="1126"/>
      <c r="Q99" s="1126"/>
      <c r="R99" s="1126"/>
      <c r="S99" s="1126"/>
      <c r="T99" s="1126"/>
      <c r="U99" s="1126"/>
      <c r="V99" s="1126"/>
      <c r="W99" s="1126"/>
      <c r="X99" s="1126"/>
      <c r="Y99" s="1126"/>
      <c r="Z99" s="1126"/>
      <c r="AA99" s="1126"/>
      <c r="AB99" s="1126"/>
    </row>
    <row r="100" ht="15.75" customHeight="1">
      <c r="B100" s="1126"/>
      <c r="C100" s="1126"/>
      <c r="D100" s="1126"/>
      <c r="E100" s="1126"/>
      <c r="F100" s="1126"/>
      <c r="G100" s="1126"/>
      <c r="H100" s="1126"/>
      <c r="I100" s="1126"/>
      <c r="J100" s="1126"/>
      <c r="K100" s="1126"/>
      <c r="L100" s="1126"/>
      <c r="M100" s="1126"/>
      <c r="N100" s="1126"/>
      <c r="O100" s="1126"/>
      <c r="P100" s="1126"/>
      <c r="Q100" s="1126"/>
      <c r="R100" s="1126"/>
      <c r="S100" s="1126"/>
      <c r="T100" s="1126"/>
      <c r="U100" s="1126"/>
      <c r="V100" s="1126"/>
      <c r="W100" s="1126"/>
      <c r="X100" s="1126"/>
      <c r="Y100" s="1126"/>
      <c r="Z100" s="1126"/>
      <c r="AA100" s="1126"/>
      <c r="AB100" s="1126"/>
    </row>
    <row r="101" ht="15.75" customHeight="1">
      <c r="B101" s="1126"/>
      <c r="C101" s="1126"/>
      <c r="D101" s="1126"/>
      <c r="E101" s="1126"/>
      <c r="F101" s="1126"/>
      <c r="G101" s="1126"/>
      <c r="H101" s="1126"/>
      <c r="I101" s="1126"/>
      <c r="J101" s="1126"/>
      <c r="K101" s="1126"/>
      <c r="L101" s="1126"/>
      <c r="M101" s="1126"/>
      <c r="N101" s="1126"/>
      <c r="O101" s="1126"/>
      <c r="P101" s="1126"/>
      <c r="Q101" s="1126"/>
      <c r="R101" s="1126"/>
      <c r="S101" s="1126"/>
      <c r="T101" s="1126"/>
      <c r="U101" s="1126"/>
      <c r="V101" s="1126"/>
      <c r="W101" s="1126"/>
      <c r="X101" s="1126"/>
      <c r="Y101" s="1126"/>
      <c r="Z101" s="1126"/>
      <c r="AA101" s="1126"/>
      <c r="AB101" s="1126"/>
    </row>
    <row r="102" ht="15.75" customHeight="1">
      <c r="B102" s="1126"/>
      <c r="C102" s="1126"/>
      <c r="D102" s="1126"/>
      <c r="E102" s="1126"/>
      <c r="F102" s="1126"/>
      <c r="G102" s="1126"/>
      <c r="H102" s="1126"/>
      <c r="I102" s="1126"/>
      <c r="J102" s="1126"/>
      <c r="K102" s="1126"/>
      <c r="L102" s="1126"/>
      <c r="M102" s="1126"/>
      <c r="N102" s="1126"/>
      <c r="O102" s="1126"/>
      <c r="P102" s="1126"/>
      <c r="Q102" s="1126"/>
      <c r="R102" s="1126"/>
      <c r="S102" s="1126"/>
      <c r="T102" s="1126"/>
      <c r="U102" s="1126"/>
      <c r="V102" s="1126"/>
      <c r="W102" s="1126"/>
      <c r="X102" s="1126"/>
      <c r="Y102" s="1126"/>
      <c r="Z102" s="1126"/>
      <c r="AA102" s="1126"/>
      <c r="AB102" s="1126"/>
    </row>
    <row r="103" ht="15.75" customHeight="1">
      <c r="B103" s="1126"/>
      <c r="C103" s="1126"/>
      <c r="D103" s="1126"/>
      <c r="E103" s="1126"/>
      <c r="F103" s="1126"/>
      <c r="G103" s="1126"/>
      <c r="H103" s="1126"/>
      <c r="I103" s="1126"/>
      <c r="J103" s="1126"/>
      <c r="K103" s="1126"/>
      <c r="L103" s="1126"/>
      <c r="M103" s="1126"/>
      <c r="N103" s="1126"/>
      <c r="O103" s="1126"/>
      <c r="P103" s="1126"/>
      <c r="Q103" s="1126"/>
      <c r="R103" s="1126"/>
      <c r="S103" s="1126"/>
      <c r="T103" s="1126"/>
      <c r="U103" s="1126"/>
      <c r="V103" s="1126"/>
      <c r="W103" s="1126"/>
      <c r="X103" s="1126"/>
      <c r="Y103" s="1126"/>
      <c r="Z103" s="1126"/>
      <c r="AA103" s="1126"/>
      <c r="AB103" s="1126"/>
    </row>
    <row r="104" ht="15.75" customHeight="1">
      <c r="B104" s="1126"/>
      <c r="C104" s="1126"/>
      <c r="D104" s="1126"/>
      <c r="E104" s="1126"/>
      <c r="F104" s="1126"/>
      <c r="G104" s="1126"/>
      <c r="H104" s="1126"/>
      <c r="I104" s="1126"/>
      <c r="J104" s="1126"/>
      <c r="K104" s="1126"/>
      <c r="L104" s="1126"/>
      <c r="M104" s="1126"/>
      <c r="N104" s="1126"/>
      <c r="O104" s="1126"/>
      <c r="P104" s="1126"/>
      <c r="Q104" s="1126"/>
      <c r="R104" s="1126"/>
      <c r="S104" s="1126"/>
      <c r="T104" s="1126"/>
      <c r="U104" s="1126"/>
      <c r="V104" s="1126"/>
      <c r="W104" s="1126"/>
      <c r="X104" s="1126"/>
      <c r="Y104" s="1126"/>
      <c r="Z104" s="1126"/>
      <c r="AA104" s="1126"/>
      <c r="AB104" s="1126"/>
    </row>
    <row r="105" ht="15.75" customHeight="1">
      <c r="B105" s="1126"/>
      <c r="C105" s="1126"/>
      <c r="D105" s="1126"/>
      <c r="E105" s="1126"/>
      <c r="F105" s="1126"/>
      <c r="G105" s="1126"/>
      <c r="H105" s="1126"/>
      <c r="I105" s="1126"/>
      <c r="J105" s="1126"/>
      <c r="K105" s="1126"/>
      <c r="L105" s="1126"/>
      <c r="M105" s="1126"/>
      <c r="N105" s="1126"/>
      <c r="O105" s="1126"/>
      <c r="P105" s="1126"/>
      <c r="Q105" s="1126"/>
      <c r="R105" s="1126"/>
      <c r="S105" s="1126"/>
      <c r="T105" s="1126"/>
      <c r="U105" s="1126"/>
      <c r="V105" s="1126"/>
      <c r="W105" s="1126"/>
      <c r="X105" s="1126"/>
      <c r="Y105" s="1126"/>
      <c r="Z105" s="1126"/>
      <c r="AA105" s="1126"/>
      <c r="AB105" s="1126"/>
    </row>
    <row r="106" ht="15.75" customHeight="1">
      <c r="B106" s="1126"/>
      <c r="C106" s="1126"/>
      <c r="D106" s="1126"/>
      <c r="E106" s="1126"/>
      <c r="F106" s="1126"/>
      <c r="G106" s="1126"/>
      <c r="H106" s="1126"/>
      <c r="I106" s="1126"/>
      <c r="J106" s="1126"/>
      <c r="K106" s="1126"/>
      <c r="L106" s="1126"/>
      <c r="M106" s="1126"/>
      <c r="N106" s="1126"/>
      <c r="O106" s="1126"/>
      <c r="P106" s="1126"/>
      <c r="Q106" s="1126"/>
      <c r="R106" s="1126"/>
      <c r="S106" s="1126"/>
      <c r="T106" s="1126"/>
      <c r="U106" s="1126"/>
      <c r="V106" s="1126"/>
      <c r="W106" s="1126"/>
      <c r="X106" s="1126"/>
      <c r="Y106" s="1126"/>
      <c r="Z106" s="1126"/>
      <c r="AA106" s="1126"/>
      <c r="AB106" s="1126"/>
    </row>
    <row r="107" ht="15.75" customHeight="1">
      <c r="B107" s="1126"/>
      <c r="C107" s="1126"/>
      <c r="D107" s="1126"/>
      <c r="E107" s="1126"/>
      <c r="F107" s="1126"/>
      <c r="G107" s="1126"/>
      <c r="H107" s="1126"/>
      <c r="I107" s="1126"/>
      <c r="J107" s="1126"/>
      <c r="K107" s="1126"/>
      <c r="L107" s="1126"/>
      <c r="M107" s="1126"/>
      <c r="N107" s="1126"/>
      <c r="O107" s="1126"/>
      <c r="P107" s="1126"/>
      <c r="Q107" s="1126"/>
      <c r="R107" s="1126"/>
      <c r="S107" s="1126"/>
      <c r="T107" s="1126"/>
      <c r="U107" s="1126"/>
      <c r="V107" s="1126"/>
      <c r="W107" s="1126"/>
      <c r="X107" s="1126"/>
      <c r="Y107" s="1126"/>
      <c r="Z107" s="1126"/>
      <c r="AA107" s="1126"/>
      <c r="AB107" s="1126"/>
    </row>
    <row r="108" ht="15.75" customHeight="1">
      <c r="B108" s="1126"/>
      <c r="C108" s="1126"/>
      <c r="D108" s="1126"/>
      <c r="E108" s="1126"/>
      <c r="F108" s="1126"/>
      <c r="G108" s="1126"/>
      <c r="H108" s="1126"/>
      <c r="I108" s="1126"/>
      <c r="J108" s="1126"/>
      <c r="K108" s="1126"/>
      <c r="L108" s="1126"/>
      <c r="M108" s="1126"/>
      <c r="N108" s="1126"/>
      <c r="O108" s="1126"/>
      <c r="P108" s="1126"/>
      <c r="Q108" s="1126"/>
      <c r="R108" s="1126"/>
      <c r="S108" s="1126"/>
      <c r="T108" s="1126"/>
      <c r="U108" s="1126"/>
      <c r="V108" s="1126"/>
      <c r="W108" s="1126"/>
      <c r="X108" s="1126"/>
      <c r="Y108" s="1126"/>
      <c r="Z108" s="1126"/>
      <c r="AA108" s="1126"/>
      <c r="AB108" s="1126"/>
    </row>
    <row r="109" ht="15.75" customHeight="1">
      <c r="B109" s="1126"/>
      <c r="C109" s="1126"/>
      <c r="D109" s="1126"/>
      <c r="E109" s="1126"/>
      <c r="F109" s="1126"/>
      <c r="G109" s="1126"/>
      <c r="H109" s="1126"/>
      <c r="I109" s="1126"/>
      <c r="J109" s="1126"/>
      <c r="K109" s="1126"/>
      <c r="L109" s="1126"/>
      <c r="M109" s="1126"/>
      <c r="N109" s="1126"/>
      <c r="O109" s="1126"/>
      <c r="P109" s="1126"/>
      <c r="Q109" s="1126"/>
      <c r="R109" s="1126"/>
      <c r="S109" s="1126"/>
      <c r="T109" s="1126"/>
      <c r="U109" s="1126"/>
      <c r="V109" s="1126"/>
      <c r="W109" s="1126"/>
      <c r="X109" s="1126"/>
      <c r="Y109" s="1126"/>
      <c r="Z109" s="1126"/>
      <c r="AA109" s="1126"/>
      <c r="AB109" s="1126"/>
    </row>
    <row r="110" ht="15.75" customHeight="1">
      <c r="B110" s="1126"/>
      <c r="C110" s="1126"/>
      <c r="D110" s="1126"/>
      <c r="E110" s="1126"/>
      <c r="F110" s="1126"/>
      <c r="G110" s="1126"/>
      <c r="H110" s="1126"/>
      <c r="I110" s="1126"/>
      <c r="J110" s="1126"/>
      <c r="K110" s="1126"/>
      <c r="L110" s="1126"/>
      <c r="M110" s="1126"/>
      <c r="N110" s="1126"/>
      <c r="O110" s="1126"/>
      <c r="P110" s="1126"/>
      <c r="Q110" s="1126"/>
      <c r="R110" s="1126"/>
      <c r="S110" s="1126"/>
      <c r="T110" s="1126"/>
      <c r="U110" s="1126"/>
      <c r="V110" s="1126"/>
      <c r="W110" s="1126"/>
      <c r="X110" s="1126"/>
      <c r="Y110" s="1126"/>
      <c r="Z110" s="1126"/>
      <c r="AA110" s="1126"/>
      <c r="AB110" s="1126"/>
    </row>
    <row r="111" ht="15.75" customHeight="1">
      <c r="B111" s="1126"/>
      <c r="C111" s="1126"/>
      <c r="D111" s="1126"/>
      <c r="E111" s="1126"/>
      <c r="F111" s="1126"/>
      <c r="G111" s="1126"/>
      <c r="H111" s="1126"/>
      <c r="I111" s="1126"/>
      <c r="J111" s="1126"/>
      <c r="K111" s="1126"/>
      <c r="L111" s="1126"/>
      <c r="M111" s="1126"/>
      <c r="N111" s="1126"/>
      <c r="O111" s="1126"/>
      <c r="P111" s="1126"/>
      <c r="Q111" s="1126"/>
      <c r="R111" s="1126"/>
      <c r="S111" s="1126"/>
      <c r="T111" s="1126"/>
      <c r="U111" s="1126"/>
      <c r="V111" s="1126"/>
      <c r="W111" s="1126"/>
      <c r="X111" s="1126"/>
      <c r="Y111" s="1126"/>
      <c r="Z111" s="1126"/>
      <c r="AA111" s="1126"/>
      <c r="AB111" s="1126"/>
    </row>
    <row r="112" ht="15.75" customHeight="1">
      <c r="B112" s="1126"/>
      <c r="C112" s="1126"/>
      <c r="D112" s="1126"/>
      <c r="E112" s="1126"/>
      <c r="F112" s="1126"/>
      <c r="G112" s="1126"/>
      <c r="H112" s="1126"/>
      <c r="I112" s="1126"/>
      <c r="J112" s="1126"/>
      <c r="K112" s="1126"/>
      <c r="L112" s="1126"/>
      <c r="M112" s="1126"/>
      <c r="N112" s="1126"/>
      <c r="O112" s="1126"/>
      <c r="P112" s="1126"/>
      <c r="Q112" s="1126"/>
      <c r="R112" s="1126"/>
      <c r="S112" s="1126"/>
      <c r="T112" s="1126"/>
      <c r="U112" s="1126"/>
      <c r="V112" s="1126"/>
      <c r="W112" s="1126"/>
      <c r="X112" s="1126"/>
      <c r="Y112" s="1126"/>
      <c r="Z112" s="1126"/>
      <c r="AA112" s="1126"/>
      <c r="AB112" s="1126"/>
    </row>
    <row r="113" ht="15.75" customHeight="1">
      <c r="B113" s="1126"/>
      <c r="C113" s="1126"/>
      <c r="D113" s="1126"/>
      <c r="E113" s="1126"/>
      <c r="F113" s="1126"/>
      <c r="G113" s="1126"/>
      <c r="H113" s="1126"/>
      <c r="I113" s="1126"/>
      <c r="J113" s="1126"/>
      <c r="K113" s="1126"/>
      <c r="L113" s="1126"/>
      <c r="M113" s="1126"/>
      <c r="N113" s="1126"/>
      <c r="O113" s="1126"/>
      <c r="P113" s="1126"/>
      <c r="Q113" s="1126"/>
      <c r="R113" s="1126"/>
      <c r="S113" s="1126"/>
      <c r="T113" s="1126"/>
      <c r="U113" s="1126"/>
      <c r="V113" s="1126"/>
      <c r="W113" s="1126"/>
      <c r="X113" s="1126"/>
      <c r="Y113" s="1126"/>
      <c r="Z113" s="1126"/>
      <c r="AA113" s="1126"/>
      <c r="AB113" s="1126"/>
    </row>
    <row r="114" ht="15.75" customHeight="1">
      <c r="B114" s="1126"/>
      <c r="C114" s="1126"/>
      <c r="D114" s="1126"/>
      <c r="E114" s="1126"/>
      <c r="F114" s="1126"/>
      <c r="G114" s="1126"/>
      <c r="H114" s="1126"/>
      <c r="I114" s="1126"/>
      <c r="J114" s="1126"/>
      <c r="K114" s="1126"/>
      <c r="L114" s="1126"/>
      <c r="M114" s="1126"/>
      <c r="N114" s="1126"/>
      <c r="O114" s="1126"/>
      <c r="P114" s="1126"/>
      <c r="Q114" s="1126"/>
      <c r="R114" s="1126"/>
      <c r="S114" s="1126"/>
      <c r="T114" s="1126"/>
      <c r="U114" s="1126"/>
      <c r="V114" s="1126"/>
      <c r="W114" s="1126"/>
      <c r="X114" s="1126"/>
      <c r="Y114" s="1126"/>
      <c r="Z114" s="1126"/>
      <c r="AA114" s="1126"/>
      <c r="AB114" s="1126"/>
    </row>
    <row r="115" ht="15.75" customHeight="1">
      <c r="B115" s="1126"/>
      <c r="C115" s="1126"/>
      <c r="D115" s="1126"/>
      <c r="E115" s="1126"/>
      <c r="F115" s="1126"/>
      <c r="G115" s="1126"/>
      <c r="H115" s="1126"/>
      <c r="I115" s="1126"/>
      <c r="J115" s="1126"/>
      <c r="K115" s="1126"/>
      <c r="L115" s="1126"/>
      <c r="M115" s="1126"/>
      <c r="N115" s="1126"/>
      <c r="O115" s="1126"/>
      <c r="P115" s="1126"/>
      <c r="Q115" s="1126"/>
      <c r="R115" s="1126"/>
      <c r="S115" s="1126"/>
      <c r="T115" s="1126"/>
      <c r="U115" s="1126"/>
      <c r="V115" s="1126"/>
      <c r="W115" s="1126"/>
      <c r="X115" s="1126"/>
      <c r="Y115" s="1126"/>
      <c r="Z115" s="1126"/>
      <c r="AA115" s="1126"/>
      <c r="AB115" s="1126"/>
    </row>
    <row r="116" ht="15.75" customHeight="1">
      <c r="B116" s="1126"/>
      <c r="C116" s="1126"/>
      <c r="D116" s="1126"/>
      <c r="E116" s="1126"/>
      <c r="F116" s="1126"/>
      <c r="G116" s="1126"/>
      <c r="H116" s="1126"/>
      <c r="I116" s="1126"/>
      <c r="J116" s="1126"/>
      <c r="K116" s="1126"/>
      <c r="L116" s="1126"/>
      <c r="M116" s="1126"/>
      <c r="N116" s="1126"/>
      <c r="O116" s="1126"/>
      <c r="P116" s="1126"/>
      <c r="Q116" s="1126"/>
      <c r="R116" s="1126"/>
      <c r="S116" s="1126"/>
      <c r="T116" s="1126"/>
      <c r="U116" s="1126"/>
      <c r="V116" s="1126"/>
      <c r="W116" s="1126"/>
      <c r="X116" s="1126"/>
      <c r="Y116" s="1126"/>
      <c r="Z116" s="1126"/>
      <c r="AA116" s="1126"/>
      <c r="AB116" s="1126"/>
    </row>
    <row r="117" ht="15.75" customHeight="1">
      <c r="B117" s="1126"/>
      <c r="C117" s="1126"/>
      <c r="D117" s="1126"/>
      <c r="E117" s="1126"/>
      <c r="F117" s="1126"/>
      <c r="G117" s="1126"/>
      <c r="H117" s="1126"/>
      <c r="I117" s="1126"/>
      <c r="J117" s="1126"/>
      <c r="K117" s="1126"/>
      <c r="L117" s="1126"/>
      <c r="M117" s="1126"/>
      <c r="N117" s="1126"/>
      <c r="O117" s="1126"/>
      <c r="P117" s="1126"/>
      <c r="Q117" s="1126"/>
      <c r="R117" s="1126"/>
      <c r="S117" s="1126"/>
      <c r="T117" s="1126"/>
      <c r="U117" s="1126"/>
      <c r="V117" s="1126"/>
      <c r="W117" s="1126"/>
      <c r="X117" s="1126"/>
      <c r="Y117" s="1126"/>
      <c r="Z117" s="1126"/>
      <c r="AA117" s="1126"/>
      <c r="AB117" s="1126"/>
    </row>
    <row r="118" ht="15.75" customHeight="1">
      <c r="B118" s="1126"/>
      <c r="C118" s="1126"/>
      <c r="D118" s="1126"/>
      <c r="E118" s="1126"/>
      <c r="F118" s="1126"/>
      <c r="G118" s="1126"/>
      <c r="H118" s="1126"/>
      <c r="I118" s="1126"/>
      <c r="J118" s="1126"/>
      <c r="K118" s="1126"/>
      <c r="L118" s="1126"/>
      <c r="M118" s="1126"/>
      <c r="N118" s="1126"/>
      <c r="O118" s="1126"/>
      <c r="P118" s="1126"/>
      <c r="Q118" s="1126"/>
      <c r="R118" s="1126"/>
      <c r="S118" s="1126"/>
      <c r="T118" s="1126"/>
      <c r="U118" s="1126"/>
      <c r="V118" s="1126"/>
      <c r="W118" s="1126"/>
      <c r="X118" s="1126"/>
      <c r="Y118" s="1126"/>
      <c r="Z118" s="1126"/>
      <c r="AA118" s="1126"/>
      <c r="AB118" s="1126"/>
    </row>
    <row r="119" ht="15.75" customHeight="1">
      <c r="B119" s="1126"/>
      <c r="C119" s="1126"/>
      <c r="D119" s="1126"/>
      <c r="E119" s="1126"/>
      <c r="F119" s="1126"/>
      <c r="G119" s="1126"/>
      <c r="H119" s="1126"/>
      <c r="I119" s="1126"/>
      <c r="J119" s="1126"/>
      <c r="K119" s="1126"/>
      <c r="L119" s="1126"/>
      <c r="M119" s="1126"/>
      <c r="N119" s="1126"/>
      <c r="O119" s="1126"/>
      <c r="P119" s="1126"/>
      <c r="Q119" s="1126"/>
      <c r="R119" s="1126"/>
      <c r="S119" s="1126"/>
      <c r="T119" s="1126"/>
      <c r="U119" s="1126"/>
      <c r="V119" s="1126"/>
      <c r="W119" s="1126"/>
      <c r="X119" s="1126"/>
      <c r="Y119" s="1126"/>
      <c r="Z119" s="1126"/>
      <c r="AA119" s="1126"/>
      <c r="AB119" s="1126"/>
    </row>
    <row r="120" ht="15.75" customHeight="1">
      <c r="B120" s="1126"/>
      <c r="C120" s="1126"/>
      <c r="D120" s="1126"/>
      <c r="E120" s="1126"/>
      <c r="F120" s="1126"/>
      <c r="G120" s="1126"/>
      <c r="H120" s="1126"/>
      <c r="I120" s="1126"/>
      <c r="J120" s="1126"/>
      <c r="K120" s="1126"/>
      <c r="L120" s="1126"/>
      <c r="M120" s="1126"/>
      <c r="N120" s="1126"/>
      <c r="O120" s="1126"/>
      <c r="P120" s="1126"/>
      <c r="Q120" s="1126"/>
      <c r="R120" s="1126"/>
      <c r="S120" s="1126"/>
      <c r="T120" s="1126"/>
      <c r="U120" s="1126"/>
      <c r="V120" s="1126"/>
      <c r="W120" s="1126"/>
      <c r="X120" s="1126"/>
      <c r="Y120" s="1126"/>
      <c r="Z120" s="1126"/>
      <c r="AA120" s="1126"/>
      <c r="AB120" s="1126"/>
    </row>
    <row r="121" ht="15.75" customHeight="1">
      <c r="B121" s="1126"/>
      <c r="C121" s="1126"/>
      <c r="D121" s="1126"/>
      <c r="E121" s="1126"/>
      <c r="F121" s="1126"/>
      <c r="G121" s="1126"/>
      <c r="H121" s="1126"/>
      <c r="I121" s="1126"/>
      <c r="J121" s="1126"/>
      <c r="K121" s="1126"/>
      <c r="L121" s="1126"/>
      <c r="M121" s="1126"/>
      <c r="N121" s="1126"/>
      <c r="O121" s="1126"/>
      <c r="P121" s="1126"/>
      <c r="Q121" s="1126"/>
      <c r="R121" s="1126"/>
      <c r="S121" s="1126"/>
      <c r="T121" s="1126"/>
      <c r="U121" s="1126"/>
      <c r="V121" s="1126"/>
      <c r="W121" s="1126"/>
      <c r="X121" s="1126"/>
      <c r="Y121" s="1126"/>
      <c r="Z121" s="1126"/>
      <c r="AA121" s="1126"/>
      <c r="AB121" s="1126"/>
    </row>
    <row r="122" ht="15.75" customHeight="1">
      <c r="B122" s="1126"/>
      <c r="C122" s="1126"/>
      <c r="D122" s="1126"/>
      <c r="E122" s="1126"/>
      <c r="F122" s="1126"/>
      <c r="G122" s="1126"/>
      <c r="H122" s="1126"/>
      <c r="I122" s="1126"/>
      <c r="J122" s="1126"/>
      <c r="K122" s="1126"/>
      <c r="L122" s="1126"/>
      <c r="M122" s="1126"/>
      <c r="N122" s="1126"/>
      <c r="O122" s="1126"/>
      <c r="P122" s="1126"/>
      <c r="Q122" s="1126"/>
      <c r="R122" s="1126"/>
      <c r="S122" s="1126"/>
      <c r="T122" s="1126"/>
      <c r="U122" s="1126"/>
      <c r="V122" s="1126"/>
      <c r="W122" s="1126"/>
      <c r="X122" s="1126"/>
      <c r="Y122" s="1126"/>
      <c r="Z122" s="1126"/>
      <c r="AA122" s="1126"/>
      <c r="AB122" s="1126"/>
    </row>
    <row r="123" ht="15.75" customHeight="1">
      <c r="B123" s="1126"/>
      <c r="C123" s="1126"/>
      <c r="D123" s="1126"/>
      <c r="E123" s="1126"/>
      <c r="F123" s="1126"/>
      <c r="G123" s="1126"/>
      <c r="H123" s="1126"/>
      <c r="I123" s="1126"/>
      <c r="J123" s="1126"/>
      <c r="K123" s="1126"/>
      <c r="L123" s="1126"/>
      <c r="M123" s="1126"/>
      <c r="N123" s="1126"/>
      <c r="O123" s="1126"/>
      <c r="P123" s="1126"/>
      <c r="Q123" s="1126"/>
      <c r="R123" s="1126"/>
      <c r="S123" s="1126"/>
      <c r="T123" s="1126"/>
      <c r="U123" s="1126"/>
      <c r="V123" s="1126"/>
      <c r="W123" s="1126"/>
      <c r="X123" s="1126"/>
      <c r="Y123" s="1126"/>
      <c r="Z123" s="1126"/>
      <c r="AA123" s="1126"/>
      <c r="AB123" s="1126"/>
    </row>
    <row r="124" ht="15.75" customHeight="1">
      <c r="B124" s="1126"/>
      <c r="C124" s="1126"/>
      <c r="D124" s="1126"/>
      <c r="E124" s="1126"/>
      <c r="F124" s="1126"/>
      <c r="G124" s="1126"/>
      <c r="H124" s="1126"/>
      <c r="I124" s="1126"/>
      <c r="J124" s="1126"/>
      <c r="K124" s="1126"/>
      <c r="L124" s="1126"/>
      <c r="M124" s="1126"/>
      <c r="N124" s="1126"/>
      <c r="O124" s="1126"/>
      <c r="P124" s="1126"/>
      <c r="Q124" s="1126"/>
      <c r="R124" s="1126"/>
      <c r="S124" s="1126"/>
      <c r="T124" s="1126"/>
      <c r="U124" s="1126"/>
      <c r="V124" s="1126"/>
      <c r="W124" s="1126"/>
      <c r="X124" s="1126"/>
      <c r="Y124" s="1126"/>
      <c r="Z124" s="1126"/>
      <c r="AA124" s="1126"/>
      <c r="AB124" s="1126"/>
    </row>
    <row r="125" ht="15.75" customHeight="1">
      <c r="B125" s="1126"/>
      <c r="C125" s="1126"/>
      <c r="D125" s="1126"/>
      <c r="E125" s="1126"/>
      <c r="F125" s="1126"/>
      <c r="G125" s="1126"/>
      <c r="H125" s="1126"/>
      <c r="I125" s="1126"/>
      <c r="J125" s="1126"/>
      <c r="K125" s="1126"/>
      <c r="L125" s="1126"/>
      <c r="M125" s="1126"/>
      <c r="N125" s="1126"/>
      <c r="O125" s="1126"/>
      <c r="P125" s="1126"/>
      <c r="Q125" s="1126"/>
      <c r="R125" s="1126"/>
      <c r="S125" s="1126"/>
      <c r="T125" s="1126"/>
      <c r="U125" s="1126"/>
      <c r="V125" s="1126"/>
      <c r="W125" s="1126"/>
      <c r="X125" s="1126"/>
      <c r="Y125" s="1126"/>
      <c r="Z125" s="1126"/>
      <c r="AA125" s="1126"/>
      <c r="AB125" s="1126"/>
    </row>
    <row r="126" ht="15.75" customHeight="1">
      <c r="B126" s="1126"/>
      <c r="C126" s="1126"/>
      <c r="D126" s="1126"/>
      <c r="E126" s="1126"/>
      <c r="F126" s="1126"/>
      <c r="G126" s="1126"/>
      <c r="H126" s="1126"/>
      <c r="I126" s="1126"/>
      <c r="J126" s="1126"/>
      <c r="K126" s="1126"/>
      <c r="L126" s="1126"/>
      <c r="M126" s="1126"/>
      <c r="N126" s="1126"/>
      <c r="O126" s="1126"/>
      <c r="P126" s="1126"/>
      <c r="Q126" s="1126"/>
      <c r="R126" s="1126"/>
      <c r="S126" s="1126"/>
      <c r="T126" s="1126"/>
      <c r="U126" s="1126"/>
      <c r="V126" s="1126"/>
      <c r="W126" s="1126"/>
      <c r="X126" s="1126"/>
      <c r="Y126" s="1126"/>
      <c r="Z126" s="1126"/>
      <c r="AA126" s="1126"/>
      <c r="AB126" s="1126"/>
    </row>
    <row r="127" ht="15.75" customHeight="1">
      <c r="B127" s="1126"/>
      <c r="C127" s="1126"/>
      <c r="D127" s="1126"/>
      <c r="E127" s="1126"/>
      <c r="F127" s="1126"/>
      <c r="G127" s="1126"/>
      <c r="H127" s="1126"/>
      <c r="I127" s="1126"/>
      <c r="J127" s="1126"/>
      <c r="K127" s="1126"/>
      <c r="L127" s="1126"/>
      <c r="M127" s="1126"/>
      <c r="N127" s="1126"/>
      <c r="O127" s="1126"/>
      <c r="P127" s="1126"/>
      <c r="Q127" s="1126"/>
      <c r="R127" s="1126"/>
      <c r="S127" s="1126"/>
      <c r="T127" s="1126"/>
      <c r="U127" s="1126"/>
      <c r="V127" s="1126"/>
      <c r="W127" s="1126"/>
      <c r="X127" s="1126"/>
      <c r="Y127" s="1126"/>
      <c r="Z127" s="1126"/>
      <c r="AA127" s="1126"/>
      <c r="AB127" s="1126"/>
    </row>
    <row r="128" ht="15.75" customHeight="1">
      <c r="B128" s="1126"/>
      <c r="C128" s="1126"/>
      <c r="D128" s="1126"/>
      <c r="E128" s="1126"/>
      <c r="F128" s="1126"/>
      <c r="G128" s="1126"/>
      <c r="H128" s="1126"/>
      <c r="I128" s="1126"/>
      <c r="J128" s="1126"/>
      <c r="K128" s="1126"/>
      <c r="L128" s="1126"/>
      <c r="M128" s="1126"/>
      <c r="N128" s="1126"/>
      <c r="O128" s="1126"/>
      <c r="P128" s="1126"/>
      <c r="Q128" s="1126"/>
      <c r="R128" s="1126"/>
      <c r="S128" s="1126"/>
      <c r="T128" s="1126"/>
      <c r="U128" s="1126"/>
      <c r="V128" s="1126"/>
      <c r="W128" s="1126"/>
      <c r="X128" s="1126"/>
      <c r="Y128" s="1126"/>
      <c r="Z128" s="1126"/>
      <c r="AA128" s="1126"/>
      <c r="AB128" s="1126"/>
    </row>
    <row r="129" ht="15.75" customHeight="1">
      <c r="B129" s="1126"/>
      <c r="C129" s="1126"/>
      <c r="D129" s="1126"/>
      <c r="E129" s="1126"/>
      <c r="F129" s="1126"/>
      <c r="G129" s="1126"/>
      <c r="H129" s="1126"/>
      <c r="I129" s="1126"/>
      <c r="J129" s="1126"/>
      <c r="K129" s="1126"/>
      <c r="L129" s="1126"/>
      <c r="M129" s="1126"/>
      <c r="N129" s="1126"/>
      <c r="O129" s="1126"/>
      <c r="P129" s="1126"/>
      <c r="Q129" s="1126"/>
      <c r="R129" s="1126"/>
      <c r="S129" s="1126"/>
      <c r="T129" s="1126"/>
      <c r="U129" s="1126"/>
      <c r="V129" s="1126"/>
      <c r="W129" s="1126"/>
      <c r="X129" s="1126"/>
      <c r="Y129" s="1126"/>
      <c r="Z129" s="1126"/>
      <c r="AA129" s="1126"/>
      <c r="AB129" s="1126"/>
    </row>
    <row r="130" ht="15.75" customHeight="1">
      <c r="B130" s="1126"/>
      <c r="C130" s="1126"/>
      <c r="D130" s="1126"/>
      <c r="E130" s="1126"/>
      <c r="F130" s="1126"/>
      <c r="G130" s="1126"/>
      <c r="H130" s="1126"/>
      <c r="I130" s="1126"/>
      <c r="J130" s="1126"/>
      <c r="K130" s="1126"/>
      <c r="L130" s="1126"/>
      <c r="M130" s="1126"/>
      <c r="N130" s="1126"/>
      <c r="O130" s="1126"/>
      <c r="P130" s="1126"/>
      <c r="Q130" s="1126"/>
      <c r="R130" s="1126"/>
      <c r="S130" s="1126"/>
      <c r="T130" s="1126"/>
      <c r="U130" s="1126"/>
      <c r="V130" s="1126"/>
      <c r="W130" s="1126"/>
      <c r="X130" s="1126"/>
      <c r="Y130" s="1126"/>
      <c r="Z130" s="1126"/>
      <c r="AA130" s="1126"/>
      <c r="AB130" s="1126"/>
    </row>
    <row r="131" ht="15.75" customHeight="1">
      <c r="B131" s="1126"/>
      <c r="C131" s="1126"/>
      <c r="D131" s="1126"/>
      <c r="E131" s="1126"/>
      <c r="F131" s="1126"/>
      <c r="G131" s="1126"/>
      <c r="H131" s="1126"/>
      <c r="I131" s="1126"/>
      <c r="J131" s="1126"/>
      <c r="K131" s="1126"/>
      <c r="L131" s="1126"/>
      <c r="M131" s="1126"/>
      <c r="N131" s="1126"/>
      <c r="O131" s="1126"/>
      <c r="P131" s="1126"/>
      <c r="Q131" s="1126"/>
      <c r="R131" s="1126"/>
      <c r="S131" s="1126"/>
      <c r="T131" s="1126"/>
      <c r="U131" s="1126"/>
      <c r="V131" s="1126"/>
      <c r="W131" s="1126"/>
      <c r="X131" s="1126"/>
      <c r="Y131" s="1126"/>
      <c r="Z131" s="1126"/>
      <c r="AA131" s="1126"/>
      <c r="AB131" s="1126"/>
    </row>
    <row r="132" ht="15.75" customHeight="1">
      <c r="B132" s="1126"/>
      <c r="C132" s="1126"/>
      <c r="D132" s="1126"/>
      <c r="E132" s="1126"/>
      <c r="F132" s="1126"/>
      <c r="G132" s="1126"/>
      <c r="H132" s="1126"/>
      <c r="I132" s="1126"/>
      <c r="J132" s="1126"/>
      <c r="K132" s="1126"/>
      <c r="L132" s="1126"/>
      <c r="M132" s="1126"/>
      <c r="N132" s="1126"/>
      <c r="O132" s="1126"/>
      <c r="P132" s="1126"/>
      <c r="Q132" s="1126"/>
      <c r="R132" s="1126"/>
      <c r="S132" s="1126"/>
      <c r="T132" s="1126"/>
      <c r="U132" s="1126"/>
      <c r="V132" s="1126"/>
      <c r="W132" s="1126"/>
      <c r="X132" s="1126"/>
      <c r="Y132" s="1126"/>
      <c r="Z132" s="1126"/>
      <c r="AA132" s="1126"/>
      <c r="AB132" s="1126"/>
    </row>
    <row r="133" ht="15.75" customHeight="1">
      <c r="B133" s="1126"/>
      <c r="C133" s="1126"/>
      <c r="D133" s="1126"/>
      <c r="E133" s="1126"/>
      <c r="F133" s="1126"/>
      <c r="G133" s="1126"/>
      <c r="H133" s="1126"/>
      <c r="I133" s="1126"/>
      <c r="J133" s="1126"/>
      <c r="K133" s="1126"/>
      <c r="L133" s="1126"/>
      <c r="M133" s="1126"/>
      <c r="N133" s="1126"/>
      <c r="O133" s="1126"/>
      <c r="P133" s="1126"/>
      <c r="Q133" s="1126"/>
      <c r="R133" s="1126"/>
      <c r="S133" s="1126"/>
      <c r="T133" s="1126"/>
      <c r="U133" s="1126"/>
      <c r="V133" s="1126"/>
      <c r="W133" s="1126"/>
      <c r="X133" s="1126"/>
      <c r="Y133" s="1126"/>
      <c r="Z133" s="1126"/>
      <c r="AA133" s="1126"/>
      <c r="AB133" s="1126"/>
    </row>
    <row r="134" ht="15.75" customHeight="1">
      <c r="B134" s="1126"/>
      <c r="C134" s="1126"/>
      <c r="D134" s="1126"/>
      <c r="E134" s="1126"/>
      <c r="F134" s="1126"/>
      <c r="G134" s="1126"/>
      <c r="H134" s="1126"/>
      <c r="I134" s="1126"/>
      <c r="J134" s="1126"/>
      <c r="K134" s="1126"/>
      <c r="L134" s="1126"/>
      <c r="M134" s="1126"/>
      <c r="N134" s="1126"/>
      <c r="O134" s="1126"/>
      <c r="P134" s="1126"/>
      <c r="Q134" s="1126"/>
      <c r="R134" s="1126"/>
      <c r="S134" s="1126"/>
      <c r="T134" s="1126"/>
      <c r="U134" s="1126"/>
      <c r="V134" s="1126"/>
      <c r="W134" s="1126"/>
      <c r="X134" s="1126"/>
      <c r="Y134" s="1126"/>
      <c r="Z134" s="1126"/>
      <c r="AA134" s="1126"/>
      <c r="AB134" s="1126"/>
    </row>
    <row r="135" ht="15.75" customHeight="1">
      <c r="B135" s="1126"/>
      <c r="C135" s="1126"/>
      <c r="D135" s="1126"/>
      <c r="E135" s="1126"/>
      <c r="F135" s="1126"/>
      <c r="G135" s="1126"/>
      <c r="H135" s="1126"/>
      <c r="I135" s="1126"/>
      <c r="J135" s="1126"/>
      <c r="K135" s="1126"/>
      <c r="L135" s="1126"/>
      <c r="M135" s="1126"/>
      <c r="N135" s="1126"/>
      <c r="O135" s="1126"/>
      <c r="P135" s="1126"/>
      <c r="Q135" s="1126"/>
      <c r="R135" s="1126"/>
      <c r="S135" s="1126"/>
      <c r="T135" s="1126"/>
      <c r="U135" s="1126"/>
      <c r="V135" s="1126"/>
      <c r="W135" s="1126"/>
      <c r="X135" s="1126"/>
      <c r="Y135" s="1126"/>
      <c r="Z135" s="1126"/>
      <c r="AA135" s="1126"/>
      <c r="AB135" s="1126"/>
    </row>
    <row r="136" ht="15.75" customHeight="1">
      <c r="B136" s="1126"/>
      <c r="C136" s="1126"/>
      <c r="D136" s="1126"/>
      <c r="E136" s="1126"/>
      <c r="F136" s="1126"/>
      <c r="G136" s="1126"/>
      <c r="H136" s="1126"/>
      <c r="I136" s="1126"/>
      <c r="J136" s="1126"/>
      <c r="K136" s="1126"/>
      <c r="L136" s="1126"/>
      <c r="M136" s="1126"/>
      <c r="N136" s="1126"/>
      <c r="O136" s="1126"/>
      <c r="P136" s="1126"/>
      <c r="Q136" s="1126"/>
      <c r="R136" s="1126"/>
      <c r="S136" s="1126"/>
      <c r="T136" s="1126"/>
      <c r="U136" s="1126"/>
      <c r="V136" s="1126"/>
      <c r="W136" s="1126"/>
      <c r="X136" s="1126"/>
      <c r="Y136" s="1126"/>
      <c r="Z136" s="1126"/>
      <c r="AA136" s="1126"/>
      <c r="AB136" s="1126"/>
    </row>
    <row r="137" ht="15.75" customHeight="1">
      <c r="B137" s="1126"/>
      <c r="C137" s="1126"/>
      <c r="D137" s="1126"/>
      <c r="E137" s="1126"/>
      <c r="F137" s="1126"/>
      <c r="G137" s="1126"/>
      <c r="H137" s="1126"/>
      <c r="I137" s="1126"/>
      <c r="J137" s="1126"/>
      <c r="K137" s="1126"/>
      <c r="L137" s="1126"/>
      <c r="M137" s="1126"/>
      <c r="N137" s="1126"/>
      <c r="O137" s="1126"/>
      <c r="P137" s="1126"/>
      <c r="Q137" s="1126"/>
      <c r="R137" s="1126"/>
      <c r="S137" s="1126"/>
      <c r="T137" s="1126"/>
      <c r="U137" s="1126"/>
      <c r="V137" s="1126"/>
      <c r="W137" s="1126"/>
      <c r="X137" s="1126"/>
      <c r="Y137" s="1126"/>
      <c r="Z137" s="1126"/>
      <c r="AA137" s="1126"/>
      <c r="AB137" s="1126"/>
    </row>
    <row r="138" ht="15.75" customHeight="1">
      <c r="B138" s="1126"/>
      <c r="C138" s="1126"/>
      <c r="D138" s="1126"/>
      <c r="E138" s="1126"/>
      <c r="F138" s="1126"/>
      <c r="G138" s="1126"/>
      <c r="H138" s="1126"/>
      <c r="I138" s="1126"/>
      <c r="J138" s="1126"/>
      <c r="K138" s="1126"/>
      <c r="L138" s="1126"/>
      <c r="M138" s="1126"/>
      <c r="N138" s="1126"/>
      <c r="O138" s="1126"/>
      <c r="P138" s="1126"/>
      <c r="Q138" s="1126"/>
      <c r="R138" s="1126"/>
      <c r="S138" s="1126"/>
      <c r="T138" s="1126"/>
      <c r="U138" s="1126"/>
      <c r="V138" s="1126"/>
      <c r="W138" s="1126"/>
      <c r="X138" s="1126"/>
      <c r="Y138" s="1126"/>
      <c r="Z138" s="1126"/>
      <c r="AA138" s="1126"/>
      <c r="AB138" s="1126"/>
    </row>
    <row r="139" ht="15.75" customHeight="1">
      <c r="B139" s="1126"/>
      <c r="C139" s="1126"/>
      <c r="D139" s="1126"/>
      <c r="E139" s="1126"/>
      <c r="F139" s="1126"/>
      <c r="G139" s="1126"/>
      <c r="H139" s="1126"/>
      <c r="I139" s="1126"/>
      <c r="J139" s="1126"/>
      <c r="K139" s="1126"/>
      <c r="L139" s="1126"/>
      <c r="M139" s="1126"/>
      <c r="N139" s="1126"/>
      <c r="O139" s="1126"/>
      <c r="P139" s="1126"/>
      <c r="Q139" s="1126"/>
      <c r="R139" s="1126"/>
      <c r="S139" s="1126"/>
      <c r="T139" s="1126"/>
      <c r="U139" s="1126"/>
      <c r="V139" s="1126"/>
      <c r="W139" s="1126"/>
      <c r="X139" s="1126"/>
      <c r="Y139" s="1126"/>
      <c r="Z139" s="1126"/>
      <c r="AA139" s="1126"/>
      <c r="AB139" s="1126"/>
    </row>
    <row r="140" ht="15.75" customHeight="1">
      <c r="B140" s="1126"/>
      <c r="C140" s="1126"/>
      <c r="D140" s="1126"/>
      <c r="E140" s="1126"/>
      <c r="F140" s="1126"/>
      <c r="G140" s="1126"/>
      <c r="H140" s="1126"/>
      <c r="I140" s="1126"/>
      <c r="J140" s="1126"/>
      <c r="K140" s="1126"/>
      <c r="L140" s="1126"/>
      <c r="M140" s="1126"/>
      <c r="N140" s="1126"/>
      <c r="O140" s="1126"/>
      <c r="P140" s="1126"/>
      <c r="Q140" s="1126"/>
      <c r="R140" s="1126"/>
      <c r="S140" s="1126"/>
      <c r="T140" s="1126"/>
      <c r="U140" s="1126"/>
      <c r="V140" s="1126"/>
      <c r="W140" s="1126"/>
      <c r="X140" s="1126"/>
      <c r="Y140" s="1126"/>
      <c r="Z140" s="1126"/>
      <c r="AA140" s="1126"/>
      <c r="AB140" s="1126"/>
    </row>
    <row r="141" ht="15.75" customHeight="1">
      <c r="B141" s="1126"/>
      <c r="C141" s="1126"/>
      <c r="D141" s="1126"/>
      <c r="E141" s="1126"/>
      <c r="F141" s="1126"/>
      <c r="G141" s="1126"/>
      <c r="H141" s="1126"/>
      <c r="I141" s="1126"/>
      <c r="J141" s="1126"/>
      <c r="K141" s="1126"/>
      <c r="L141" s="1126"/>
      <c r="M141" s="1126"/>
      <c r="N141" s="1126"/>
      <c r="O141" s="1126"/>
      <c r="P141" s="1126"/>
      <c r="Q141" s="1126"/>
      <c r="R141" s="1126"/>
      <c r="S141" s="1126"/>
      <c r="T141" s="1126"/>
      <c r="U141" s="1126"/>
      <c r="V141" s="1126"/>
      <c r="W141" s="1126"/>
      <c r="X141" s="1126"/>
      <c r="Y141" s="1126"/>
      <c r="Z141" s="1126"/>
      <c r="AA141" s="1126"/>
      <c r="AB141" s="1126"/>
    </row>
    <row r="142" ht="15.75" customHeight="1">
      <c r="B142" s="1126"/>
      <c r="C142" s="1126"/>
      <c r="D142" s="1126"/>
      <c r="E142" s="1126"/>
      <c r="F142" s="1126"/>
      <c r="G142" s="1126"/>
      <c r="H142" s="1126"/>
      <c r="I142" s="1126"/>
      <c r="J142" s="1126"/>
      <c r="K142" s="1126"/>
      <c r="L142" s="1126"/>
      <c r="M142" s="1126"/>
      <c r="N142" s="1126"/>
      <c r="O142" s="1126"/>
      <c r="P142" s="1126"/>
      <c r="Q142" s="1126"/>
      <c r="R142" s="1126"/>
      <c r="S142" s="1126"/>
      <c r="T142" s="1126"/>
      <c r="U142" s="1126"/>
      <c r="V142" s="1126"/>
      <c r="W142" s="1126"/>
      <c r="X142" s="1126"/>
      <c r="Y142" s="1126"/>
      <c r="Z142" s="1126"/>
      <c r="AA142" s="1126"/>
      <c r="AB142" s="1126"/>
    </row>
    <row r="143" ht="15.75" customHeight="1">
      <c r="B143" s="1126"/>
      <c r="C143" s="1126"/>
      <c r="D143" s="1126"/>
      <c r="E143" s="1126"/>
      <c r="F143" s="1126"/>
      <c r="G143" s="1126"/>
      <c r="H143" s="1126"/>
      <c r="I143" s="1126"/>
      <c r="J143" s="1126"/>
      <c r="K143" s="1126"/>
      <c r="L143" s="1126"/>
      <c r="M143" s="1126"/>
      <c r="N143" s="1126"/>
      <c r="O143" s="1126"/>
      <c r="P143" s="1126"/>
      <c r="Q143" s="1126"/>
      <c r="R143" s="1126"/>
      <c r="S143" s="1126"/>
      <c r="T143" s="1126"/>
      <c r="U143" s="1126"/>
      <c r="V143" s="1126"/>
      <c r="W143" s="1126"/>
      <c r="X143" s="1126"/>
      <c r="Y143" s="1126"/>
      <c r="Z143" s="1126"/>
      <c r="AA143" s="1126"/>
      <c r="AB143" s="1126"/>
    </row>
    <row r="144" ht="15.75" customHeight="1">
      <c r="B144" s="1126"/>
      <c r="C144" s="1126"/>
      <c r="D144" s="1126"/>
      <c r="E144" s="1126"/>
      <c r="F144" s="1126"/>
      <c r="G144" s="1126"/>
      <c r="H144" s="1126"/>
      <c r="I144" s="1126"/>
      <c r="J144" s="1126"/>
      <c r="K144" s="1126"/>
      <c r="L144" s="1126"/>
      <c r="M144" s="1126"/>
      <c r="N144" s="1126"/>
      <c r="O144" s="1126"/>
      <c r="P144" s="1126"/>
      <c r="Q144" s="1126"/>
      <c r="R144" s="1126"/>
      <c r="S144" s="1126"/>
      <c r="T144" s="1126"/>
      <c r="U144" s="1126"/>
      <c r="V144" s="1126"/>
      <c r="W144" s="1126"/>
      <c r="X144" s="1126"/>
      <c r="Y144" s="1126"/>
      <c r="Z144" s="1126"/>
      <c r="AA144" s="1126"/>
      <c r="AB144" s="1126"/>
    </row>
    <row r="145" ht="15.75" customHeight="1">
      <c r="B145" s="1126"/>
      <c r="C145" s="1126"/>
      <c r="D145" s="1126"/>
      <c r="E145" s="1126"/>
      <c r="F145" s="1126"/>
      <c r="G145" s="1126"/>
      <c r="H145" s="1126"/>
      <c r="I145" s="1126"/>
      <c r="J145" s="1126"/>
      <c r="K145" s="1126"/>
      <c r="L145" s="1126"/>
      <c r="M145" s="1126"/>
      <c r="N145" s="1126"/>
      <c r="O145" s="1126"/>
      <c r="P145" s="1126"/>
      <c r="Q145" s="1126"/>
      <c r="R145" s="1126"/>
      <c r="S145" s="1126"/>
      <c r="T145" s="1126"/>
      <c r="U145" s="1126"/>
      <c r="V145" s="1126"/>
      <c r="W145" s="1126"/>
      <c r="X145" s="1126"/>
      <c r="Y145" s="1126"/>
      <c r="Z145" s="1126"/>
      <c r="AA145" s="1126"/>
      <c r="AB145" s="1126"/>
    </row>
    <row r="146" ht="15.75" customHeight="1">
      <c r="B146" s="1126"/>
      <c r="C146" s="1126"/>
      <c r="D146" s="1126"/>
      <c r="E146" s="1126"/>
      <c r="F146" s="1126"/>
      <c r="G146" s="1126"/>
      <c r="H146" s="1126"/>
      <c r="I146" s="1126"/>
      <c r="J146" s="1126"/>
      <c r="K146" s="1126"/>
      <c r="L146" s="1126"/>
      <c r="M146" s="1126"/>
      <c r="N146" s="1126"/>
      <c r="O146" s="1126"/>
      <c r="P146" s="1126"/>
      <c r="Q146" s="1126"/>
      <c r="R146" s="1126"/>
      <c r="S146" s="1126"/>
      <c r="T146" s="1126"/>
      <c r="U146" s="1126"/>
      <c r="V146" s="1126"/>
      <c r="W146" s="1126"/>
      <c r="X146" s="1126"/>
      <c r="Y146" s="1126"/>
      <c r="Z146" s="1126"/>
      <c r="AA146" s="1126"/>
      <c r="AB146" s="1126"/>
    </row>
    <row r="147" ht="15.75" customHeight="1">
      <c r="B147" s="1126"/>
      <c r="C147" s="1126"/>
      <c r="D147" s="1126"/>
      <c r="E147" s="1126"/>
      <c r="F147" s="1126"/>
      <c r="G147" s="1126"/>
      <c r="H147" s="1126"/>
      <c r="I147" s="1126"/>
      <c r="J147" s="1126"/>
      <c r="K147" s="1126"/>
      <c r="L147" s="1126"/>
      <c r="M147" s="1126"/>
      <c r="N147" s="1126"/>
      <c r="O147" s="1126"/>
      <c r="P147" s="1126"/>
      <c r="Q147" s="1126"/>
      <c r="R147" s="1126"/>
      <c r="S147" s="1126"/>
      <c r="T147" s="1126"/>
      <c r="U147" s="1126"/>
      <c r="V147" s="1126"/>
      <c r="W147" s="1126"/>
      <c r="X147" s="1126"/>
      <c r="Y147" s="1126"/>
      <c r="Z147" s="1126"/>
      <c r="AA147" s="1126"/>
      <c r="AB147" s="1126"/>
    </row>
    <row r="148" ht="15.75" customHeight="1">
      <c r="B148" s="1126"/>
      <c r="C148" s="1126"/>
      <c r="D148" s="1126"/>
      <c r="E148" s="1126"/>
      <c r="F148" s="1126"/>
      <c r="G148" s="1126"/>
      <c r="H148" s="1126"/>
      <c r="I148" s="1126"/>
      <c r="J148" s="1126"/>
      <c r="K148" s="1126"/>
      <c r="L148" s="1126"/>
      <c r="M148" s="1126"/>
      <c r="N148" s="1126"/>
      <c r="O148" s="1126"/>
      <c r="P148" s="1126"/>
      <c r="Q148" s="1126"/>
      <c r="R148" s="1126"/>
      <c r="S148" s="1126"/>
      <c r="T148" s="1126"/>
      <c r="U148" s="1126"/>
      <c r="V148" s="1126"/>
      <c r="W148" s="1126"/>
      <c r="X148" s="1126"/>
      <c r="Y148" s="1126"/>
      <c r="Z148" s="1126"/>
      <c r="AA148" s="1126"/>
      <c r="AB148" s="1126"/>
    </row>
    <row r="149" ht="15.75" customHeight="1">
      <c r="B149" s="1126"/>
      <c r="C149" s="1126"/>
      <c r="D149" s="1126"/>
      <c r="E149" s="1126"/>
      <c r="F149" s="1126"/>
      <c r="G149" s="1126"/>
      <c r="H149" s="1126"/>
      <c r="I149" s="1126"/>
      <c r="J149" s="1126"/>
      <c r="K149" s="1126"/>
      <c r="L149" s="1126"/>
      <c r="M149" s="1126"/>
      <c r="N149" s="1126"/>
      <c r="O149" s="1126"/>
      <c r="P149" s="1126"/>
      <c r="Q149" s="1126"/>
      <c r="R149" s="1126"/>
      <c r="S149" s="1126"/>
      <c r="T149" s="1126"/>
      <c r="U149" s="1126"/>
      <c r="V149" s="1126"/>
      <c r="W149" s="1126"/>
      <c r="X149" s="1126"/>
      <c r="Y149" s="1126"/>
      <c r="Z149" s="1126"/>
      <c r="AA149" s="1126"/>
      <c r="AB149" s="1126"/>
    </row>
    <row r="150" ht="15.75" customHeight="1">
      <c r="B150" s="1126"/>
      <c r="C150" s="1126"/>
      <c r="D150" s="1126"/>
      <c r="E150" s="1126"/>
      <c r="F150" s="1126"/>
      <c r="G150" s="1126"/>
      <c r="H150" s="1126"/>
      <c r="I150" s="1126"/>
      <c r="J150" s="1126"/>
      <c r="K150" s="1126"/>
      <c r="L150" s="1126"/>
      <c r="M150" s="1126"/>
      <c r="N150" s="1126"/>
      <c r="O150" s="1126"/>
      <c r="P150" s="1126"/>
      <c r="Q150" s="1126"/>
      <c r="R150" s="1126"/>
      <c r="S150" s="1126"/>
      <c r="T150" s="1126"/>
      <c r="U150" s="1126"/>
      <c r="V150" s="1126"/>
      <c r="W150" s="1126"/>
      <c r="X150" s="1126"/>
      <c r="Y150" s="1126"/>
      <c r="Z150" s="1126"/>
      <c r="AA150" s="1126"/>
      <c r="AB150" s="1126"/>
    </row>
    <row r="151" ht="15.75" customHeight="1">
      <c r="B151" s="1126"/>
      <c r="C151" s="1126"/>
      <c r="D151" s="1126"/>
      <c r="E151" s="1126"/>
      <c r="F151" s="1126"/>
      <c r="G151" s="1126"/>
      <c r="H151" s="1126"/>
      <c r="I151" s="1126"/>
      <c r="J151" s="1126"/>
      <c r="K151" s="1126"/>
      <c r="L151" s="1126"/>
      <c r="M151" s="1126"/>
      <c r="N151" s="1126"/>
      <c r="O151" s="1126"/>
      <c r="P151" s="1126"/>
      <c r="Q151" s="1126"/>
      <c r="R151" s="1126"/>
      <c r="S151" s="1126"/>
      <c r="T151" s="1126"/>
      <c r="U151" s="1126"/>
      <c r="V151" s="1126"/>
      <c r="W151" s="1126"/>
      <c r="X151" s="1126"/>
      <c r="Y151" s="1126"/>
      <c r="Z151" s="1126"/>
      <c r="AA151" s="1126"/>
      <c r="AB151" s="1126"/>
    </row>
    <row r="152" ht="15.75" customHeight="1">
      <c r="B152" s="1126"/>
      <c r="C152" s="1126"/>
      <c r="D152" s="1126"/>
      <c r="E152" s="1126"/>
      <c r="F152" s="1126"/>
      <c r="G152" s="1126"/>
      <c r="H152" s="1126"/>
      <c r="I152" s="1126"/>
      <c r="J152" s="1126"/>
      <c r="K152" s="1126"/>
      <c r="L152" s="1126"/>
      <c r="M152" s="1126"/>
      <c r="N152" s="1126"/>
      <c r="O152" s="1126"/>
      <c r="P152" s="1126"/>
      <c r="Q152" s="1126"/>
      <c r="R152" s="1126"/>
      <c r="S152" s="1126"/>
      <c r="T152" s="1126"/>
      <c r="U152" s="1126"/>
      <c r="V152" s="1126"/>
      <c r="W152" s="1126"/>
      <c r="X152" s="1126"/>
      <c r="Y152" s="1126"/>
      <c r="Z152" s="1126"/>
      <c r="AA152" s="1126"/>
      <c r="AB152" s="1126"/>
    </row>
    <row r="153" ht="15.75" customHeight="1">
      <c r="B153" s="1126"/>
      <c r="C153" s="1126"/>
      <c r="D153" s="1126"/>
      <c r="E153" s="1126"/>
      <c r="F153" s="1126"/>
      <c r="G153" s="1126"/>
      <c r="H153" s="1126"/>
      <c r="I153" s="1126"/>
      <c r="J153" s="1126"/>
      <c r="K153" s="1126"/>
      <c r="L153" s="1126"/>
      <c r="M153" s="1126"/>
      <c r="N153" s="1126"/>
      <c r="O153" s="1126"/>
      <c r="P153" s="1126"/>
      <c r="Q153" s="1126"/>
      <c r="R153" s="1126"/>
      <c r="S153" s="1126"/>
      <c r="T153" s="1126"/>
      <c r="U153" s="1126"/>
      <c r="V153" s="1126"/>
      <c r="W153" s="1126"/>
      <c r="X153" s="1126"/>
      <c r="Y153" s="1126"/>
      <c r="Z153" s="1126"/>
      <c r="AA153" s="1126"/>
      <c r="AB153" s="1126"/>
    </row>
    <row r="154" ht="15.75" customHeight="1">
      <c r="B154" s="1126"/>
      <c r="C154" s="1126"/>
      <c r="D154" s="1126"/>
      <c r="E154" s="1126"/>
      <c r="F154" s="1126"/>
      <c r="G154" s="1126"/>
      <c r="H154" s="1126"/>
      <c r="I154" s="1126"/>
      <c r="J154" s="1126"/>
      <c r="K154" s="1126"/>
      <c r="L154" s="1126"/>
      <c r="M154" s="1126"/>
      <c r="N154" s="1126"/>
      <c r="O154" s="1126"/>
      <c r="P154" s="1126"/>
      <c r="Q154" s="1126"/>
      <c r="R154" s="1126"/>
      <c r="S154" s="1126"/>
      <c r="T154" s="1126"/>
      <c r="U154" s="1126"/>
      <c r="V154" s="1126"/>
      <c r="W154" s="1126"/>
      <c r="X154" s="1126"/>
      <c r="Y154" s="1126"/>
      <c r="Z154" s="1126"/>
      <c r="AA154" s="1126"/>
      <c r="AB154" s="1126"/>
    </row>
    <row r="155" ht="15.75" customHeight="1">
      <c r="B155" s="1126"/>
      <c r="C155" s="1126"/>
      <c r="D155" s="1126"/>
      <c r="E155" s="1126"/>
      <c r="F155" s="1126"/>
      <c r="G155" s="1126"/>
      <c r="H155" s="1126"/>
      <c r="I155" s="1126"/>
      <c r="J155" s="1126"/>
      <c r="K155" s="1126"/>
      <c r="L155" s="1126"/>
      <c r="M155" s="1126"/>
      <c r="N155" s="1126"/>
      <c r="O155" s="1126"/>
      <c r="P155" s="1126"/>
      <c r="Q155" s="1126"/>
      <c r="R155" s="1126"/>
      <c r="S155" s="1126"/>
      <c r="T155" s="1126"/>
      <c r="U155" s="1126"/>
      <c r="V155" s="1126"/>
      <c r="W155" s="1126"/>
      <c r="X155" s="1126"/>
      <c r="Y155" s="1126"/>
      <c r="Z155" s="1126"/>
      <c r="AA155" s="1126"/>
      <c r="AB155" s="1126"/>
    </row>
    <row r="156" ht="15.75" customHeight="1">
      <c r="B156" s="1126"/>
      <c r="C156" s="1126"/>
      <c r="D156" s="1126"/>
      <c r="E156" s="1126"/>
      <c r="F156" s="1126"/>
      <c r="G156" s="1126"/>
      <c r="H156" s="1126"/>
      <c r="I156" s="1126"/>
      <c r="J156" s="1126"/>
      <c r="K156" s="1126"/>
      <c r="L156" s="1126"/>
      <c r="M156" s="1126"/>
      <c r="N156" s="1126"/>
      <c r="O156" s="1126"/>
      <c r="P156" s="1126"/>
      <c r="Q156" s="1126"/>
      <c r="R156" s="1126"/>
      <c r="S156" s="1126"/>
      <c r="T156" s="1126"/>
      <c r="U156" s="1126"/>
      <c r="V156" s="1126"/>
      <c r="W156" s="1126"/>
      <c r="X156" s="1126"/>
      <c r="Y156" s="1126"/>
      <c r="Z156" s="1126"/>
      <c r="AA156" s="1126"/>
      <c r="AB156" s="1126"/>
    </row>
    <row r="157" ht="15.75" customHeight="1">
      <c r="B157" s="1126"/>
      <c r="C157" s="1126"/>
      <c r="D157" s="1126"/>
      <c r="E157" s="1126"/>
      <c r="F157" s="1126"/>
      <c r="G157" s="1126"/>
      <c r="H157" s="1126"/>
      <c r="I157" s="1126"/>
      <c r="J157" s="1126"/>
      <c r="K157" s="1126"/>
      <c r="L157" s="1126"/>
      <c r="M157" s="1126"/>
      <c r="N157" s="1126"/>
      <c r="O157" s="1126"/>
      <c r="P157" s="1126"/>
      <c r="Q157" s="1126"/>
      <c r="R157" s="1126"/>
      <c r="S157" s="1126"/>
      <c r="T157" s="1126"/>
      <c r="U157" s="1126"/>
      <c r="V157" s="1126"/>
      <c r="W157" s="1126"/>
      <c r="X157" s="1126"/>
      <c r="Y157" s="1126"/>
      <c r="Z157" s="1126"/>
      <c r="AA157" s="1126"/>
      <c r="AB157" s="1126"/>
    </row>
    <row r="158" ht="15.75" customHeight="1">
      <c r="B158" s="1126"/>
      <c r="C158" s="1126"/>
      <c r="D158" s="1126"/>
      <c r="E158" s="1126"/>
      <c r="F158" s="1126"/>
      <c r="G158" s="1126"/>
      <c r="H158" s="1126"/>
      <c r="I158" s="1126"/>
      <c r="J158" s="1126"/>
      <c r="K158" s="1126"/>
      <c r="L158" s="1126"/>
      <c r="M158" s="1126"/>
      <c r="N158" s="1126"/>
      <c r="O158" s="1126"/>
      <c r="P158" s="1126"/>
      <c r="Q158" s="1126"/>
      <c r="R158" s="1126"/>
      <c r="S158" s="1126"/>
      <c r="T158" s="1126"/>
      <c r="U158" s="1126"/>
      <c r="V158" s="1126"/>
      <c r="W158" s="1126"/>
      <c r="X158" s="1126"/>
      <c r="Y158" s="1126"/>
      <c r="Z158" s="1126"/>
      <c r="AA158" s="1126"/>
      <c r="AB158" s="1126"/>
    </row>
    <row r="159" ht="15.75" customHeight="1">
      <c r="B159" s="1126"/>
      <c r="C159" s="1126"/>
      <c r="D159" s="1126"/>
      <c r="E159" s="1126"/>
      <c r="F159" s="1126"/>
      <c r="G159" s="1126"/>
      <c r="H159" s="1126"/>
      <c r="I159" s="1126"/>
      <c r="J159" s="1126"/>
      <c r="K159" s="1126"/>
      <c r="L159" s="1126"/>
      <c r="M159" s="1126"/>
      <c r="N159" s="1126"/>
      <c r="O159" s="1126"/>
      <c r="P159" s="1126"/>
      <c r="Q159" s="1126"/>
      <c r="R159" s="1126"/>
      <c r="S159" s="1126"/>
      <c r="T159" s="1126"/>
      <c r="U159" s="1126"/>
      <c r="V159" s="1126"/>
      <c r="W159" s="1126"/>
      <c r="X159" s="1126"/>
      <c r="Y159" s="1126"/>
      <c r="Z159" s="1126"/>
      <c r="AA159" s="1126"/>
      <c r="AB159" s="1126"/>
    </row>
    <row r="160" ht="15.75" customHeight="1">
      <c r="B160" s="1126"/>
      <c r="C160" s="1126"/>
      <c r="D160" s="1126"/>
      <c r="E160" s="1126"/>
      <c r="F160" s="1126"/>
      <c r="G160" s="1126"/>
      <c r="H160" s="1126"/>
      <c r="I160" s="1126"/>
      <c r="J160" s="1126"/>
      <c r="K160" s="1126"/>
      <c r="L160" s="1126"/>
      <c r="M160" s="1126"/>
      <c r="N160" s="1126"/>
      <c r="O160" s="1126"/>
      <c r="P160" s="1126"/>
      <c r="Q160" s="1126"/>
      <c r="R160" s="1126"/>
      <c r="S160" s="1126"/>
      <c r="T160" s="1126"/>
      <c r="U160" s="1126"/>
      <c r="V160" s="1126"/>
      <c r="W160" s="1126"/>
      <c r="X160" s="1126"/>
      <c r="Y160" s="1126"/>
      <c r="Z160" s="1126"/>
      <c r="AA160" s="1126"/>
      <c r="AB160" s="1126"/>
    </row>
    <row r="161" ht="15.75" customHeight="1">
      <c r="B161" s="1126"/>
      <c r="C161" s="1126"/>
      <c r="D161" s="1126"/>
      <c r="E161" s="1126"/>
      <c r="F161" s="1126"/>
      <c r="G161" s="1126"/>
      <c r="H161" s="1126"/>
      <c r="I161" s="1126"/>
      <c r="J161" s="1126"/>
      <c r="K161" s="1126"/>
      <c r="L161" s="1126"/>
      <c r="M161" s="1126"/>
      <c r="N161" s="1126"/>
      <c r="O161" s="1126"/>
      <c r="P161" s="1126"/>
      <c r="Q161" s="1126"/>
      <c r="R161" s="1126"/>
      <c r="S161" s="1126"/>
      <c r="T161" s="1126"/>
      <c r="U161" s="1126"/>
      <c r="V161" s="1126"/>
      <c r="W161" s="1126"/>
      <c r="X161" s="1126"/>
      <c r="Y161" s="1126"/>
      <c r="Z161" s="1126"/>
      <c r="AA161" s="1126"/>
      <c r="AB161" s="1126"/>
    </row>
    <row r="162" ht="15.75" customHeight="1">
      <c r="B162" s="1126"/>
      <c r="C162" s="1126"/>
      <c r="D162" s="1126"/>
      <c r="E162" s="1126"/>
      <c r="F162" s="1126"/>
      <c r="G162" s="1126"/>
      <c r="H162" s="1126"/>
      <c r="I162" s="1126"/>
      <c r="J162" s="1126"/>
      <c r="K162" s="1126"/>
      <c r="L162" s="1126"/>
      <c r="M162" s="1126"/>
      <c r="N162" s="1126"/>
      <c r="O162" s="1126"/>
      <c r="P162" s="1126"/>
      <c r="Q162" s="1126"/>
      <c r="R162" s="1126"/>
      <c r="S162" s="1126"/>
      <c r="T162" s="1126"/>
      <c r="U162" s="1126"/>
      <c r="V162" s="1126"/>
      <c r="W162" s="1126"/>
      <c r="X162" s="1126"/>
      <c r="Y162" s="1126"/>
      <c r="Z162" s="1126"/>
      <c r="AA162" s="1126"/>
      <c r="AB162" s="1126"/>
    </row>
    <row r="163" ht="15.75" customHeight="1">
      <c r="B163" s="1126"/>
      <c r="C163" s="1126"/>
      <c r="D163" s="1126"/>
      <c r="E163" s="1126"/>
      <c r="F163" s="1126"/>
      <c r="G163" s="1126"/>
      <c r="H163" s="1126"/>
      <c r="I163" s="1126"/>
      <c r="J163" s="1126"/>
      <c r="K163" s="1126"/>
      <c r="L163" s="1126"/>
      <c r="M163" s="1126"/>
      <c r="N163" s="1126"/>
      <c r="O163" s="1126"/>
      <c r="P163" s="1126"/>
      <c r="Q163" s="1126"/>
      <c r="R163" s="1126"/>
      <c r="S163" s="1126"/>
      <c r="T163" s="1126"/>
      <c r="U163" s="1126"/>
      <c r="V163" s="1126"/>
      <c r="W163" s="1126"/>
      <c r="X163" s="1126"/>
      <c r="Y163" s="1126"/>
      <c r="Z163" s="1126"/>
      <c r="AA163" s="1126"/>
      <c r="AB163" s="1126"/>
    </row>
    <row r="164" ht="15.75" customHeight="1">
      <c r="B164" s="1126"/>
      <c r="C164" s="1126"/>
      <c r="D164" s="1126"/>
      <c r="E164" s="1126"/>
      <c r="F164" s="1126"/>
      <c r="G164" s="1126"/>
      <c r="H164" s="1126"/>
      <c r="I164" s="1126"/>
      <c r="J164" s="1126"/>
      <c r="K164" s="1126"/>
      <c r="L164" s="1126"/>
      <c r="M164" s="1126"/>
      <c r="N164" s="1126"/>
      <c r="O164" s="1126"/>
      <c r="P164" s="1126"/>
      <c r="Q164" s="1126"/>
      <c r="R164" s="1126"/>
      <c r="S164" s="1126"/>
      <c r="T164" s="1126"/>
      <c r="U164" s="1126"/>
      <c r="V164" s="1126"/>
      <c r="W164" s="1126"/>
      <c r="X164" s="1126"/>
      <c r="Y164" s="1126"/>
      <c r="Z164" s="1126"/>
      <c r="AA164" s="1126"/>
      <c r="AB164" s="1126"/>
    </row>
    <row r="165" ht="15.75" customHeight="1">
      <c r="B165" s="1126"/>
      <c r="C165" s="1126"/>
      <c r="D165" s="1126"/>
      <c r="E165" s="1126"/>
      <c r="F165" s="1126"/>
      <c r="G165" s="1126"/>
      <c r="H165" s="1126"/>
      <c r="I165" s="1126"/>
      <c r="J165" s="1126"/>
      <c r="K165" s="1126"/>
      <c r="L165" s="1126"/>
      <c r="M165" s="1126"/>
      <c r="N165" s="1126"/>
      <c r="O165" s="1126"/>
      <c r="P165" s="1126"/>
      <c r="Q165" s="1126"/>
      <c r="R165" s="1126"/>
      <c r="S165" s="1126"/>
      <c r="T165" s="1126"/>
      <c r="U165" s="1126"/>
      <c r="V165" s="1126"/>
      <c r="W165" s="1126"/>
      <c r="X165" s="1126"/>
      <c r="Y165" s="1126"/>
      <c r="Z165" s="1126"/>
      <c r="AA165" s="1126"/>
      <c r="AB165" s="1126"/>
    </row>
    <row r="166" ht="15.75" customHeight="1">
      <c r="B166" s="1126"/>
      <c r="C166" s="1126"/>
      <c r="D166" s="1126"/>
      <c r="E166" s="1126"/>
      <c r="F166" s="1126"/>
      <c r="G166" s="1126"/>
      <c r="H166" s="1126"/>
      <c r="I166" s="1126"/>
      <c r="J166" s="1126"/>
      <c r="K166" s="1126"/>
      <c r="L166" s="1126"/>
      <c r="M166" s="1126"/>
      <c r="N166" s="1126"/>
      <c r="O166" s="1126"/>
      <c r="P166" s="1126"/>
      <c r="Q166" s="1126"/>
      <c r="R166" s="1126"/>
      <c r="S166" s="1126"/>
      <c r="T166" s="1126"/>
      <c r="U166" s="1126"/>
      <c r="V166" s="1126"/>
      <c r="W166" s="1126"/>
      <c r="X166" s="1126"/>
      <c r="Y166" s="1126"/>
      <c r="Z166" s="1126"/>
      <c r="AA166" s="1126"/>
      <c r="AB166" s="1126"/>
    </row>
    <row r="167" ht="15.75" customHeight="1">
      <c r="B167" s="1126"/>
      <c r="C167" s="1126"/>
      <c r="D167" s="1126"/>
      <c r="E167" s="1126"/>
      <c r="F167" s="1126"/>
      <c r="G167" s="1126"/>
      <c r="H167" s="1126"/>
      <c r="I167" s="1126"/>
      <c r="J167" s="1126"/>
      <c r="K167" s="1126"/>
      <c r="L167" s="1126"/>
      <c r="M167" s="1126"/>
      <c r="N167" s="1126"/>
      <c r="O167" s="1126"/>
      <c r="P167" s="1126"/>
      <c r="Q167" s="1126"/>
      <c r="R167" s="1126"/>
      <c r="S167" s="1126"/>
      <c r="T167" s="1126"/>
      <c r="U167" s="1126"/>
      <c r="V167" s="1126"/>
      <c r="W167" s="1126"/>
      <c r="X167" s="1126"/>
      <c r="Y167" s="1126"/>
      <c r="Z167" s="1126"/>
      <c r="AA167" s="1126"/>
      <c r="AB167" s="1126"/>
    </row>
    <row r="168" ht="15.75" customHeight="1">
      <c r="B168" s="1126"/>
      <c r="C168" s="1126"/>
      <c r="D168" s="1126"/>
      <c r="E168" s="1126"/>
      <c r="F168" s="1126"/>
      <c r="G168" s="1126"/>
      <c r="H168" s="1126"/>
      <c r="I168" s="1126"/>
      <c r="J168" s="1126"/>
      <c r="K168" s="1126"/>
      <c r="L168" s="1126"/>
      <c r="M168" s="1126"/>
      <c r="N168" s="1126"/>
      <c r="O168" s="1126"/>
      <c r="P168" s="1126"/>
      <c r="Q168" s="1126"/>
      <c r="R168" s="1126"/>
      <c r="S168" s="1126"/>
      <c r="T168" s="1126"/>
      <c r="U168" s="1126"/>
      <c r="V168" s="1126"/>
      <c r="W168" s="1126"/>
      <c r="X168" s="1126"/>
      <c r="Y168" s="1126"/>
      <c r="Z168" s="1126"/>
      <c r="AA168" s="1126"/>
      <c r="AB168" s="1126"/>
    </row>
    <row r="169" ht="15.75" customHeight="1">
      <c r="B169" s="1126"/>
      <c r="C169" s="1126"/>
      <c r="D169" s="1126"/>
      <c r="E169" s="1126"/>
      <c r="F169" s="1126"/>
      <c r="G169" s="1126"/>
      <c r="H169" s="1126"/>
      <c r="I169" s="1126"/>
      <c r="J169" s="1126"/>
      <c r="K169" s="1126"/>
      <c r="L169" s="1126"/>
      <c r="M169" s="1126"/>
      <c r="N169" s="1126"/>
      <c r="O169" s="1126"/>
      <c r="P169" s="1126"/>
      <c r="Q169" s="1126"/>
      <c r="R169" s="1126"/>
      <c r="S169" s="1126"/>
      <c r="T169" s="1126"/>
      <c r="U169" s="1126"/>
      <c r="V169" s="1126"/>
      <c r="W169" s="1126"/>
      <c r="X169" s="1126"/>
      <c r="Y169" s="1126"/>
      <c r="Z169" s="1126"/>
      <c r="AA169" s="1126"/>
      <c r="AB169" s="1126"/>
    </row>
    <row r="170" ht="15.75" customHeight="1">
      <c r="B170" s="1126"/>
      <c r="C170" s="1126"/>
      <c r="D170" s="1126"/>
      <c r="E170" s="1126"/>
      <c r="F170" s="1126"/>
      <c r="G170" s="1126"/>
      <c r="H170" s="1126"/>
      <c r="I170" s="1126"/>
      <c r="J170" s="1126"/>
      <c r="K170" s="1126"/>
      <c r="L170" s="1126"/>
      <c r="M170" s="1126"/>
      <c r="N170" s="1126"/>
      <c r="O170" s="1126"/>
      <c r="P170" s="1126"/>
      <c r="Q170" s="1126"/>
      <c r="R170" s="1126"/>
      <c r="S170" s="1126"/>
      <c r="T170" s="1126"/>
      <c r="U170" s="1126"/>
      <c r="V170" s="1126"/>
      <c r="W170" s="1126"/>
      <c r="X170" s="1126"/>
      <c r="Y170" s="1126"/>
      <c r="Z170" s="1126"/>
      <c r="AA170" s="1126"/>
      <c r="AB170" s="1126"/>
    </row>
    <row r="171" ht="15.75" customHeight="1">
      <c r="B171" s="1126"/>
      <c r="C171" s="1126"/>
      <c r="D171" s="1126"/>
      <c r="E171" s="1126"/>
      <c r="F171" s="1126"/>
      <c r="G171" s="1126"/>
      <c r="H171" s="1126"/>
      <c r="I171" s="1126"/>
      <c r="J171" s="1126"/>
      <c r="K171" s="1126"/>
      <c r="L171" s="1126"/>
      <c r="M171" s="1126"/>
      <c r="N171" s="1126"/>
      <c r="O171" s="1126"/>
      <c r="P171" s="1126"/>
      <c r="Q171" s="1126"/>
      <c r="R171" s="1126"/>
      <c r="S171" s="1126"/>
      <c r="T171" s="1126"/>
      <c r="U171" s="1126"/>
      <c r="V171" s="1126"/>
      <c r="W171" s="1126"/>
      <c r="X171" s="1126"/>
      <c r="Y171" s="1126"/>
      <c r="Z171" s="1126"/>
      <c r="AA171" s="1126"/>
      <c r="AB171" s="1126"/>
    </row>
    <row r="172" ht="15.75" customHeight="1">
      <c r="B172" s="1126"/>
      <c r="C172" s="1126"/>
      <c r="D172" s="1126"/>
      <c r="E172" s="1126"/>
      <c r="F172" s="1126"/>
      <c r="G172" s="1126"/>
      <c r="H172" s="1126"/>
      <c r="I172" s="1126"/>
      <c r="J172" s="1126"/>
      <c r="K172" s="1126"/>
      <c r="L172" s="1126"/>
      <c r="M172" s="1126"/>
      <c r="N172" s="1126"/>
      <c r="O172" s="1126"/>
      <c r="P172" s="1126"/>
      <c r="Q172" s="1126"/>
      <c r="R172" s="1126"/>
      <c r="S172" s="1126"/>
      <c r="T172" s="1126"/>
      <c r="U172" s="1126"/>
      <c r="V172" s="1126"/>
      <c r="W172" s="1126"/>
      <c r="X172" s="1126"/>
      <c r="Y172" s="1126"/>
      <c r="Z172" s="1126"/>
      <c r="AA172" s="1126"/>
      <c r="AB172" s="1126"/>
    </row>
    <row r="173" ht="15.75" customHeight="1">
      <c r="B173" s="1126"/>
      <c r="C173" s="1126"/>
      <c r="D173" s="1126"/>
      <c r="E173" s="1126"/>
      <c r="F173" s="1126"/>
      <c r="G173" s="1126"/>
      <c r="H173" s="1126"/>
      <c r="I173" s="1126"/>
      <c r="J173" s="1126"/>
      <c r="K173" s="1126"/>
      <c r="L173" s="1126"/>
      <c r="M173" s="1126"/>
      <c r="N173" s="1126"/>
      <c r="O173" s="1126"/>
      <c r="P173" s="1126"/>
      <c r="Q173" s="1126"/>
      <c r="R173" s="1126"/>
      <c r="S173" s="1126"/>
      <c r="T173" s="1126"/>
      <c r="U173" s="1126"/>
      <c r="V173" s="1126"/>
      <c r="W173" s="1126"/>
      <c r="X173" s="1126"/>
      <c r="Y173" s="1126"/>
      <c r="Z173" s="1126"/>
      <c r="AA173" s="1126"/>
      <c r="AB173" s="1126"/>
    </row>
    <row r="174" ht="15.75" customHeight="1">
      <c r="B174" s="1126"/>
      <c r="C174" s="1126"/>
      <c r="D174" s="1126"/>
      <c r="E174" s="1126"/>
      <c r="F174" s="1126"/>
      <c r="G174" s="1126"/>
      <c r="H174" s="1126"/>
      <c r="I174" s="1126"/>
      <c r="J174" s="1126"/>
      <c r="K174" s="1126"/>
      <c r="L174" s="1126"/>
      <c r="M174" s="1126"/>
      <c r="N174" s="1126"/>
      <c r="O174" s="1126"/>
      <c r="P174" s="1126"/>
      <c r="Q174" s="1126"/>
      <c r="R174" s="1126"/>
      <c r="S174" s="1126"/>
      <c r="T174" s="1126"/>
      <c r="U174" s="1126"/>
      <c r="V174" s="1126"/>
      <c r="W174" s="1126"/>
      <c r="X174" s="1126"/>
      <c r="Y174" s="1126"/>
      <c r="Z174" s="1126"/>
      <c r="AA174" s="1126"/>
      <c r="AB174" s="1126"/>
    </row>
    <row r="175" ht="15.75" customHeight="1">
      <c r="B175" s="1126"/>
      <c r="C175" s="1126"/>
      <c r="D175" s="1126"/>
      <c r="E175" s="1126"/>
      <c r="F175" s="1126"/>
      <c r="G175" s="1126"/>
      <c r="H175" s="1126"/>
      <c r="I175" s="1126"/>
      <c r="J175" s="1126"/>
      <c r="K175" s="1126"/>
      <c r="L175" s="1126"/>
      <c r="M175" s="1126"/>
      <c r="N175" s="1126"/>
      <c r="O175" s="1126"/>
      <c r="P175" s="1126"/>
      <c r="Q175" s="1126"/>
      <c r="R175" s="1126"/>
      <c r="S175" s="1126"/>
      <c r="T175" s="1126"/>
      <c r="U175" s="1126"/>
      <c r="V175" s="1126"/>
      <c r="W175" s="1126"/>
      <c r="X175" s="1126"/>
      <c r="Y175" s="1126"/>
      <c r="Z175" s="1126"/>
      <c r="AA175" s="1126"/>
      <c r="AB175" s="1126"/>
    </row>
    <row r="176" ht="15.75" customHeight="1">
      <c r="B176" s="1126"/>
      <c r="C176" s="1126"/>
      <c r="D176" s="1126"/>
      <c r="E176" s="1126"/>
      <c r="F176" s="1126"/>
      <c r="G176" s="1126"/>
      <c r="H176" s="1126"/>
      <c r="I176" s="1126"/>
      <c r="J176" s="1126"/>
      <c r="K176" s="1126"/>
      <c r="L176" s="1126"/>
      <c r="M176" s="1126"/>
      <c r="N176" s="1126"/>
      <c r="O176" s="1126"/>
      <c r="P176" s="1126"/>
      <c r="Q176" s="1126"/>
      <c r="R176" s="1126"/>
      <c r="S176" s="1126"/>
      <c r="T176" s="1126"/>
      <c r="U176" s="1126"/>
      <c r="V176" s="1126"/>
      <c r="W176" s="1126"/>
      <c r="X176" s="1126"/>
      <c r="Y176" s="1126"/>
      <c r="Z176" s="1126"/>
      <c r="AA176" s="1126"/>
      <c r="AB176" s="1126"/>
    </row>
    <row r="177" ht="15.75" customHeight="1">
      <c r="B177" s="1126"/>
      <c r="C177" s="1126"/>
      <c r="D177" s="1126"/>
      <c r="E177" s="1126"/>
      <c r="F177" s="1126"/>
      <c r="G177" s="1126"/>
      <c r="H177" s="1126"/>
      <c r="I177" s="1126"/>
      <c r="J177" s="1126"/>
      <c r="K177" s="1126"/>
      <c r="L177" s="1126"/>
      <c r="M177" s="1126"/>
      <c r="N177" s="1126"/>
      <c r="O177" s="1126"/>
      <c r="P177" s="1126"/>
      <c r="Q177" s="1126"/>
      <c r="R177" s="1126"/>
      <c r="S177" s="1126"/>
      <c r="T177" s="1126"/>
      <c r="U177" s="1126"/>
      <c r="V177" s="1126"/>
      <c r="W177" s="1126"/>
      <c r="X177" s="1126"/>
      <c r="Y177" s="1126"/>
      <c r="Z177" s="1126"/>
      <c r="AA177" s="1126"/>
      <c r="AB177" s="1126"/>
    </row>
    <row r="178" ht="15.75" customHeight="1">
      <c r="B178" s="1126"/>
      <c r="C178" s="1126"/>
      <c r="D178" s="1126"/>
      <c r="E178" s="1126"/>
      <c r="F178" s="1126"/>
      <c r="G178" s="1126"/>
      <c r="H178" s="1126"/>
      <c r="I178" s="1126"/>
      <c r="J178" s="1126"/>
      <c r="K178" s="1126"/>
      <c r="L178" s="1126"/>
      <c r="M178" s="1126"/>
      <c r="N178" s="1126"/>
      <c r="O178" s="1126"/>
      <c r="P178" s="1126"/>
      <c r="Q178" s="1126"/>
      <c r="R178" s="1126"/>
      <c r="S178" s="1126"/>
      <c r="T178" s="1126"/>
      <c r="U178" s="1126"/>
      <c r="V178" s="1126"/>
      <c r="W178" s="1126"/>
      <c r="X178" s="1126"/>
      <c r="Y178" s="1126"/>
      <c r="Z178" s="1126"/>
      <c r="AA178" s="1126"/>
      <c r="AB178" s="1126"/>
    </row>
    <row r="179" ht="15.75" customHeight="1">
      <c r="B179" s="1126"/>
      <c r="C179" s="1126"/>
      <c r="D179" s="1126"/>
      <c r="E179" s="1126"/>
      <c r="F179" s="1126"/>
      <c r="G179" s="1126"/>
      <c r="H179" s="1126"/>
      <c r="I179" s="1126"/>
      <c r="J179" s="1126"/>
      <c r="K179" s="1126"/>
      <c r="L179" s="1126"/>
      <c r="M179" s="1126"/>
      <c r="N179" s="1126"/>
      <c r="O179" s="1126"/>
      <c r="P179" s="1126"/>
      <c r="Q179" s="1126"/>
      <c r="R179" s="1126"/>
      <c r="S179" s="1126"/>
      <c r="T179" s="1126"/>
      <c r="U179" s="1126"/>
      <c r="V179" s="1126"/>
      <c r="W179" s="1126"/>
      <c r="X179" s="1126"/>
      <c r="Y179" s="1126"/>
      <c r="Z179" s="1126"/>
      <c r="AA179" s="1126"/>
      <c r="AB179" s="1126"/>
    </row>
    <row r="180" ht="15.75" customHeight="1">
      <c r="B180" s="1126"/>
      <c r="C180" s="1126"/>
      <c r="D180" s="1126"/>
      <c r="E180" s="1126"/>
      <c r="F180" s="1126"/>
      <c r="G180" s="1126"/>
      <c r="H180" s="1126"/>
      <c r="I180" s="1126"/>
      <c r="J180" s="1126"/>
      <c r="K180" s="1126"/>
      <c r="L180" s="1126"/>
      <c r="M180" s="1126"/>
      <c r="N180" s="1126"/>
      <c r="O180" s="1126"/>
      <c r="P180" s="1126"/>
      <c r="Q180" s="1126"/>
      <c r="R180" s="1126"/>
      <c r="S180" s="1126"/>
      <c r="T180" s="1126"/>
      <c r="U180" s="1126"/>
      <c r="V180" s="1126"/>
      <c r="W180" s="1126"/>
      <c r="X180" s="1126"/>
      <c r="Y180" s="1126"/>
      <c r="Z180" s="1126"/>
      <c r="AA180" s="1126"/>
      <c r="AB180" s="1126"/>
    </row>
    <row r="181" ht="15.75" customHeight="1">
      <c r="B181" s="1126"/>
      <c r="C181" s="1126"/>
      <c r="D181" s="1126"/>
      <c r="E181" s="1126"/>
      <c r="F181" s="1126"/>
      <c r="G181" s="1126"/>
      <c r="H181" s="1126"/>
      <c r="I181" s="1126"/>
      <c r="J181" s="1126"/>
      <c r="K181" s="1126"/>
      <c r="L181" s="1126"/>
      <c r="M181" s="1126"/>
      <c r="N181" s="1126"/>
      <c r="O181" s="1126"/>
      <c r="P181" s="1126"/>
      <c r="Q181" s="1126"/>
      <c r="R181" s="1126"/>
      <c r="S181" s="1126"/>
      <c r="T181" s="1126"/>
      <c r="U181" s="1126"/>
      <c r="V181" s="1126"/>
      <c r="W181" s="1126"/>
      <c r="X181" s="1126"/>
      <c r="Y181" s="1126"/>
      <c r="Z181" s="1126"/>
      <c r="AA181" s="1126"/>
      <c r="AB181" s="1126"/>
    </row>
    <row r="182" ht="15.75" customHeight="1">
      <c r="B182" s="1126"/>
      <c r="C182" s="1126"/>
      <c r="D182" s="1126"/>
      <c r="E182" s="1126"/>
      <c r="F182" s="1126"/>
      <c r="G182" s="1126"/>
      <c r="H182" s="1126"/>
      <c r="I182" s="1126"/>
      <c r="J182" s="1126"/>
      <c r="K182" s="1126"/>
      <c r="L182" s="1126"/>
      <c r="M182" s="1126"/>
      <c r="N182" s="1126"/>
      <c r="O182" s="1126"/>
      <c r="P182" s="1126"/>
      <c r="Q182" s="1126"/>
      <c r="R182" s="1126"/>
      <c r="S182" s="1126"/>
      <c r="T182" s="1126"/>
      <c r="U182" s="1126"/>
      <c r="V182" s="1126"/>
      <c r="W182" s="1126"/>
      <c r="X182" s="1126"/>
      <c r="Y182" s="1126"/>
      <c r="Z182" s="1126"/>
      <c r="AA182" s="1126"/>
      <c r="AB182" s="1126"/>
    </row>
    <row r="183" ht="15.75" customHeight="1">
      <c r="B183" s="1126"/>
      <c r="C183" s="1126"/>
      <c r="D183" s="1126"/>
      <c r="E183" s="1126"/>
      <c r="F183" s="1126"/>
      <c r="G183" s="1126"/>
      <c r="H183" s="1126"/>
      <c r="I183" s="1126"/>
      <c r="J183" s="1126"/>
      <c r="K183" s="1126"/>
      <c r="L183" s="1126"/>
      <c r="M183" s="1126"/>
      <c r="N183" s="1126"/>
      <c r="O183" s="1126"/>
      <c r="P183" s="1126"/>
      <c r="Q183" s="1126"/>
      <c r="R183" s="1126"/>
      <c r="S183" s="1126"/>
      <c r="T183" s="1126"/>
      <c r="U183" s="1126"/>
      <c r="V183" s="1126"/>
      <c r="W183" s="1126"/>
      <c r="X183" s="1126"/>
      <c r="Y183" s="1126"/>
      <c r="Z183" s="1126"/>
      <c r="AA183" s="1126"/>
      <c r="AB183" s="1126"/>
    </row>
    <row r="184" ht="15.75" customHeight="1">
      <c r="B184" s="1126"/>
      <c r="C184" s="1126"/>
      <c r="D184" s="1126"/>
      <c r="E184" s="1126"/>
      <c r="F184" s="1126"/>
      <c r="G184" s="1126"/>
      <c r="H184" s="1126"/>
      <c r="I184" s="1126"/>
      <c r="J184" s="1126"/>
      <c r="K184" s="1126"/>
      <c r="L184" s="1126"/>
      <c r="M184" s="1126"/>
      <c r="N184" s="1126"/>
      <c r="O184" s="1126"/>
      <c r="P184" s="1126"/>
      <c r="Q184" s="1126"/>
      <c r="R184" s="1126"/>
      <c r="S184" s="1126"/>
      <c r="T184" s="1126"/>
      <c r="U184" s="1126"/>
      <c r="V184" s="1126"/>
      <c r="W184" s="1126"/>
      <c r="X184" s="1126"/>
      <c r="Y184" s="1126"/>
      <c r="Z184" s="1126"/>
      <c r="AA184" s="1126"/>
      <c r="AB184" s="1126"/>
    </row>
    <row r="185" ht="15.75" customHeight="1">
      <c r="B185" s="1126"/>
      <c r="C185" s="1126"/>
      <c r="D185" s="1126"/>
      <c r="E185" s="1126"/>
      <c r="F185" s="1126"/>
      <c r="G185" s="1126"/>
      <c r="H185" s="1126"/>
      <c r="I185" s="1126"/>
      <c r="J185" s="1126"/>
      <c r="K185" s="1126"/>
      <c r="L185" s="1126"/>
      <c r="M185" s="1126"/>
      <c r="N185" s="1126"/>
      <c r="O185" s="1126"/>
      <c r="P185" s="1126"/>
      <c r="Q185" s="1126"/>
      <c r="R185" s="1126"/>
      <c r="S185" s="1126"/>
      <c r="T185" s="1126"/>
      <c r="U185" s="1126"/>
      <c r="V185" s="1126"/>
      <c r="W185" s="1126"/>
      <c r="X185" s="1126"/>
      <c r="Y185" s="1126"/>
      <c r="Z185" s="1126"/>
      <c r="AA185" s="1126"/>
      <c r="AB185" s="1126"/>
    </row>
    <row r="186" ht="15.75" customHeight="1">
      <c r="B186" s="1126"/>
      <c r="C186" s="1126"/>
      <c r="D186" s="1126"/>
      <c r="E186" s="1126"/>
      <c r="F186" s="1126"/>
      <c r="G186" s="1126"/>
      <c r="H186" s="1126"/>
      <c r="I186" s="1126"/>
      <c r="J186" s="1126"/>
      <c r="K186" s="1126"/>
      <c r="L186" s="1126"/>
      <c r="M186" s="1126"/>
      <c r="N186" s="1126"/>
      <c r="O186" s="1126"/>
      <c r="P186" s="1126"/>
      <c r="Q186" s="1126"/>
      <c r="R186" s="1126"/>
      <c r="S186" s="1126"/>
      <c r="T186" s="1126"/>
      <c r="U186" s="1126"/>
      <c r="V186" s="1126"/>
      <c r="W186" s="1126"/>
      <c r="X186" s="1126"/>
      <c r="Y186" s="1126"/>
      <c r="Z186" s="1126"/>
      <c r="AA186" s="1126"/>
      <c r="AB186" s="1126"/>
    </row>
    <row r="187" ht="15.75" customHeight="1">
      <c r="B187" s="1126"/>
      <c r="C187" s="1126"/>
      <c r="D187" s="1126"/>
      <c r="E187" s="1126"/>
      <c r="F187" s="1126"/>
      <c r="G187" s="1126"/>
      <c r="H187" s="1126"/>
      <c r="I187" s="1126"/>
      <c r="J187" s="1126"/>
      <c r="K187" s="1126"/>
      <c r="L187" s="1126"/>
      <c r="M187" s="1126"/>
      <c r="N187" s="1126"/>
      <c r="O187" s="1126"/>
      <c r="P187" s="1126"/>
      <c r="Q187" s="1126"/>
      <c r="R187" s="1126"/>
      <c r="S187" s="1126"/>
      <c r="T187" s="1126"/>
      <c r="U187" s="1126"/>
      <c r="V187" s="1126"/>
      <c r="W187" s="1126"/>
      <c r="X187" s="1126"/>
      <c r="Y187" s="1126"/>
      <c r="Z187" s="1126"/>
      <c r="AA187" s="1126"/>
      <c r="AB187" s="1126"/>
    </row>
    <row r="188" ht="15.75" customHeight="1">
      <c r="B188" s="1126"/>
      <c r="C188" s="1126"/>
      <c r="D188" s="1126"/>
      <c r="E188" s="1126"/>
      <c r="F188" s="1126"/>
      <c r="G188" s="1126"/>
      <c r="H188" s="1126"/>
      <c r="I188" s="1126"/>
      <c r="J188" s="1126"/>
      <c r="K188" s="1126"/>
      <c r="L188" s="1126"/>
      <c r="M188" s="1126"/>
      <c r="N188" s="1126"/>
      <c r="O188" s="1126"/>
      <c r="P188" s="1126"/>
      <c r="Q188" s="1126"/>
      <c r="R188" s="1126"/>
      <c r="S188" s="1126"/>
      <c r="T188" s="1126"/>
      <c r="U188" s="1126"/>
      <c r="V188" s="1126"/>
      <c r="W188" s="1126"/>
      <c r="X188" s="1126"/>
      <c r="Y188" s="1126"/>
      <c r="Z188" s="1126"/>
      <c r="AA188" s="1126"/>
      <c r="AB188" s="1126"/>
    </row>
    <row r="189" ht="15.75" customHeight="1">
      <c r="B189" s="1126"/>
      <c r="C189" s="1126"/>
      <c r="D189" s="1126"/>
      <c r="E189" s="1126"/>
      <c r="F189" s="1126"/>
      <c r="G189" s="1126"/>
      <c r="H189" s="1126"/>
      <c r="I189" s="1126"/>
      <c r="J189" s="1126"/>
      <c r="K189" s="1126"/>
      <c r="L189" s="1126"/>
      <c r="M189" s="1126"/>
      <c r="N189" s="1126"/>
      <c r="O189" s="1126"/>
      <c r="P189" s="1126"/>
      <c r="Q189" s="1126"/>
      <c r="R189" s="1126"/>
      <c r="S189" s="1126"/>
      <c r="T189" s="1126"/>
      <c r="U189" s="1126"/>
      <c r="V189" s="1126"/>
      <c r="W189" s="1126"/>
      <c r="X189" s="1126"/>
      <c r="Y189" s="1126"/>
      <c r="Z189" s="1126"/>
      <c r="AA189" s="1126"/>
      <c r="AB189" s="1126"/>
    </row>
    <row r="190" ht="15.75" customHeight="1">
      <c r="B190" s="1126"/>
      <c r="C190" s="1126"/>
      <c r="D190" s="1126"/>
      <c r="E190" s="1126"/>
      <c r="F190" s="1126"/>
      <c r="G190" s="1126"/>
      <c r="H190" s="1126"/>
      <c r="I190" s="1126"/>
      <c r="J190" s="1126"/>
      <c r="K190" s="1126"/>
      <c r="L190" s="1126"/>
      <c r="M190" s="1126"/>
      <c r="N190" s="1126"/>
      <c r="O190" s="1126"/>
      <c r="P190" s="1126"/>
      <c r="Q190" s="1126"/>
      <c r="R190" s="1126"/>
      <c r="S190" s="1126"/>
      <c r="T190" s="1126"/>
      <c r="U190" s="1126"/>
      <c r="V190" s="1126"/>
      <c r="W190" s="1126"/>
      <c r="X190" s="1126"/>
      <c r="Y190" s="1126"/>
      <c r="Z190" s="1126"/>
      <c r="AA190" s="1126"/>
      <c r="AB190" s="1126"/>
    </row>
    <row r="191" ht="15.75" customHeight="1">
      <c r="B191" s="1126"/>
      <c r="C191" s="1126"/>
      <c r="D191" s="1126"/>
      <c r="E191" s="1126"/>
      <c r="F191" s="1126"/>
      <c r="G191" s="1126"/>
      <c r="H191" s="1126"/>
      <c r="I191" s="1126"/>
      <c r="J191" s="1126"/>
      <c r="K191" s="1126"/>
      <c r="L191" s="1126"/>
      <c r="M191" s="1126"/>
      <c r="N191" s="1126"/>
      <c r="O191" s="1126"/>
      <c r="P191" s="1126"/>
      <c r="Q191" s="1126"/>
      <c r="R191" s="1126"/>
      <c r="S191" s="1126"/>
      <c r="T191" s="1126"/>
      <c r="U191" s="1126"/>
      <c r="V191" s="1126"/>
      <c r="W191" s="1126"/>
      <c r="X191" s="1126"/>
      <c r="Y191" s="1126"/>
      <c r="Z191" s="1126"/>
      <c r="AA191" s="1126"/>
      <c r="AB191" s="1126"/>
    </row>
    <row r="192" ht="15.75" customHeight="1">
      <c r="B192" s="1126"/>
      <c r="C192" s="1126"/>
      <c r="D192" s="1126"/>
      <c r="E192" s="1126"/>
      <c r="F192" s="1126"/>
      <c r="G192" s="1126"/>
      <c r="H192" s="1126"/>
      <c r="I192" s="1126"/>
      <c r="J192" s="1126"/>
      <c r="K192" s="1126"/>
      <c r="L192" s="1126"/>
      <c r="M192" s="1126"/>
      <c r="N192" s="1126"/>
      <c r="O192" s="1126"/>
      <c r="P192" s="1126"/>
      <c r="Q192" s="1126"/>
      <c r="R192" s="1126"/>
      <c r="S192" s="1126"/>
      <c r="T192" s="1126"/>
      <c r="U192" s="1126"/>
      <c r="V192" s="1126"/>
      <c r="W192" s="1126"/>
      <c r="X192" s="1126"/>
      <c r="Y192" s="1126"/>
      <c r="Z192" s="1126"/>
      <c r="AA192" s="1126"/>
      <c r="AB192" s="1126"/>
    </row>
    <row r="193" ht="15.75" customHeight="1">
      <c r="B193" s="1126"/>
      <c r="C193" s="1126"/>
      <c r="D193" s="1126"/>
      <c r="E193" s="1126"/>
      <c r="F193" s="1126"/>
      <c r="G193" s="1126"/>
      <c r="H193" s="1126"/>
      <c r="I193" s="1126"/>
      <c r="J193" s="1126"/>
      <c r="K193" s="1126"/>
      <c r="L193" s="1126"/>
      <c r="M193" s="1126"/>
      <c r="N193" s="1126"/>
      <c r="O193" s="1126"/>
      <c r="P193" s="1126"/>
      <c r="Q193" s="1126"/>
      <c r="R193" s="1126"/>
      <c r="S193" s="1126"/>
      <c r="T193" s="1126"/>
      <c r="U193" s="1126"/>
      <c r="V193" s="1126"/>
      <c r="W193" s="1126"/>
      <c r="X193" s="1126"/>
      <c r="Y193" s="1126"/>
      <c r="Z193" s="1126"/>
      <c r="AA193" s="1126"/>
      <c r="AB193" s="1126"/>
    </row>
    <row r="194" ht="15.75" customHeight="1">
      <c r="B194" s="1126"/>
      <c r="C194" s="1126"/>
      <c r="D194" s="1126"/>
      <c r="E194" s="1126"/>
      <c r="F194" s="1126"/>
      <c r="G194" s="1126"/>
      <c r="H194" s="1126"/>
      <c r="I194" s="1126"/>
      <c r="J194" s="1126"/>
      <c r="K194" s="1126"/>
      <c r="L194" s="1126"/>
      <c r="M194" s="1126"/>
      <c r="N194" s="1126"/>
      <c r="O194" s="1126"/>
      <c r="P194" s="1126"/>
      <c r="Q194" s="1126"/>
      <c r="R194" s="1126"/>
      <c r="S194" s="1126"/>
      <c r="T194" s="1126"/>
      <c r="U194" s="1126"/>
      <c r="V194" s="1126"/>
      <c r="W194" s="1126"/>
      <c r="X194" s="1126"/>
      <c r="Y194" s="1126"/>
      <c r="Z194" s="1126"/>
      <c r="AA194" s="1126"/>
      <c r="AB194" s="1126"/>
    </row>
    <row r="195" ht="15.75" customHeight="1">
      <c r="B195" s="1126"/>
      <c r="C195" s="1126"/>
      <c r="D195" s="1126"/>
      <c r="E195" s="1126"/>
      <c r="F195" s="1126"/>
      <c r="G195" s="1126"/>
      <c r="H195" s="1126"/>
      <c r="I195" s="1126"/>
      <c r="J195" s="1126"/>
      <c r="K195" s="1126"/>
      <c r="L195" s="1126"/>
      <c r="M195" s="1126"/>
      <c r="N195" s="1126"/>
      <c r="O195" s="1126"/>
      <c r="P195" s="1126"/>
      <c r="Q195" s="1126"/>
      <c r="R195" s="1126"/>
      <c r="S195" s="1126"/>
      <c r="T195" s="1126"/>
      <c r="U195" s="1126"/>
      <c r="V195" s="1126"/>
      <c r="W195" s="1126"/>
      <c r="X195" s="1126"/>
      <c r="Y195" s="1126"/>
      <c r="Z195" s="1126"/>
      <c r="AA195" s="1126"/>
      <c r="AB195" s="1126"/>
    </row>
    <row r="196" ht="15.75" customHeight="1">
      <c r="B196" s="1126"/>
      <c r="C196" s="1126"/>
      <c r="D196" s="1126"/>
      <c r="E196" s="1126"/>
      <c r="F196" s="1126"/>
      <c r="G196" s="1126"/>
      <c r="H196" s="1126"/>
      <c r="I196" s="1126"/>
      <c r="J196" s="1126"/>
      <c r="K196" s="1126"/>
      <c r="L196" s="1126"/>
      <c r="M196" s="1126"/>
      <c r="N196" s="1126"/>
      <c r="O196" s="1126"/>
      <c r="P196" s="1126"/>
      <c r="Q196" s="1126"/>
      <c r="R196" s="1126"/>
      <c r="S196" s="1126"/>
      <c r="T196" s="1126"/>
      <c r="U196" s="1126"/>
      <c r="V196" s="1126"/>
      <c r="W196" s="1126"/>
      <c r="X196" s="1126"/>
      <c r="Y196" s="1126"/>
      <c r="Z196" s="1126"/>
      <c r="AA196" s="1126"/>
      <c r="AB196" s="1126"/>
    </row>
    <row r="197" ht="15.75" customHeight="1">
      <c r="B197" s="1126"/>
      <c r="C197" s="1126"/>
      <c r="D197" s="1126"/>
      <c r="E197" s="1126"/>
      <c r="F197" s="1126"/>
      <c r="G197" s="1126"/>
      <c r="H197" s="1126"/>
      <c r="I197" s="1126"/>
      <c r="J197" s="1126"/>
      <c r="K197" s="1126"/>
      <c r="L197" s="1126"/>
      <c r="M197" s="1126"/>
      <c r="N197" s="1126"/>
      <c r="O197" s="1126"/>
      <c r="P197" s="1126"/>
      <c r="Q197" s="1126"/>
      <c r="R197" s="1126"/>
      <c r="S197" s="1126"/>
      <c r="T197" s="1126"/>
      <c r="U197" s="1126"/>
      <c r="V197" s="1126"/>
      <c r="W197" s="1126"/>
      <c r="X197" s="1126"/>
      <c r="Y197" s="1126"/>
      <c r="Z197" s="1126"/>
      <c r="AA197" s="1126"/>
      <c r="AB197" s="1126"/>
    </row>
    <row r="198" ht="15.75" customHeight="1">
      <c r="B198" s="1126"/>
      <c r="C198" s="1126"/>
      <c r="D198" s="1126"/>
      <c r="E198" s="1126"/>
      <c r="F198" s="1126"/>
      <c r="G198" s="1126"/>
      <c r="H198" s="1126"/>
      <c r="I198" s="1126"/>
      <c r="J198" s="1126"/>
      <c r="K198" s="1126"/>
      <c r="L198" s="1126"/>
      <c r="M198" s="1126"/>
      <c r="N198" s="1126"/>
      <c r="O198" s="1126"/>
      <c r="P198" s="1126"/>
      <c r="Q198" s="1126"/>
      <c r="R198" s="1126"/>
      <c r="S198" s="1126"/>
      <c r="T198" s="1126"/>
      <c r="U198" s="1126"/>
      <c r="V198" s="1126"/>
      <c r="W198" s="1126"/>
      <c r="X198" s="1126"/>
      <c r="Y198" s="1126"/>
      <c r="Z198" s="1126"/>
      <c r="AA198" s="1126"/>
      <c r="AB198" s="1126"/>
    </row>
    <row r="199" ht="15.75" customHeight="1">
      <c r="B199" s="1126"/>
      <c r="C199" s="1126"/>
      <c r="D199" s="1126"/>
      <c r="E199" s="1126"/>
      <c r="F199" s="1126"/>
      <c r="G199" s="1126"/>
      <c r="H199" s="1126"/>
      <c r="I199" s="1126"/>
      <c r="J199" s="1126"/>
      <c r="K199" s="1126"/>
      <c r="L199" s="1126"/>
      <c r="M199" s="1126"/>
      <c r="N199" s="1126"/>
      <c r="O199" s="1126"/>
      <c r="P199" s="1126"/>
      <c r="Q199" s="1126"/>
      <c r="R199" s="1126"/>
      <c r="S199" s="1126"/>
      <c r="T199" s="1126"/>
      <c r="U199" s="1126"/>
      <c r="V199" s="1126"/>
      <c r="W199" s="1126"/>
      <c r="X199" s="1126"/>
      <c r="Y199" s="1126"/>
      <c r="Z199" s="1126"/>
      <c r="AA199" s="1126"/>
      <c r="AB199" s="1126"/>
    </row>
    <row r="200" ht="15.75" customHeight="1">
      <c r="B200" s="1126"/>
      <c r="C200" s="1126"/>
      <c r="D200" s="1126"/>
      <c r="E200" s="1126"/>
      <c r="F200" s="1126"/>
      <c r="G200" s="1126"/>
      <c r="H200" s="1126"/>
      <c r="I200" s="1126"/>
      <c r="J200" s="1126"/>
      <c r="K200" s="1126"/>
      <c r="L200" s="1126"/>
      <c r="M200" s="1126"/>
      <c r="N200" s="1126"/>
      <c r="O200" s="1126"/>
      <c r="P200" s="1126"/>
      <c r="Q200" s="1126"/>
      <c r="R200" s="1126"/>
      <c r="S200" s="1126"/>
      <c r="T200" s="1126"/>
      <c r="U200" s="1126"/>
      <c r="V200" s="1126"/>
      <c r="W200" s="1126"/>
      <c r="X200" s="1126"/>
      <c r="Y200" s="1126"/>
      <c r="Z200" s="1126"/>
      <c r="AA200" s="1126"/>
      <c r="AB200" s="1126"/>
    </row>
    <row r="201" ht="15.75" customHeight="1">
      <c r="B201" s="1126"/>
      <c r="C201" s="1126"/>
      <c r="D201" s="1126"/>
      <c r="E201" s="1126"/>
      <c r="F201" s="1126"/>
      <c r="G201" s="1126"/>
      <c r="H201" s="1126"/>
      <c r="I201" s="1126"/>
      <c r="J201" s="1126"/>
      <c r="K201" s="1126"/>
      <c r="L201" s="1126"/>
      <c r="M201" s="1126"/>
      <c r="N201" s="1126"/>
      <c r="O201" s="1126"/>
      <c r="P201" s="1126"/>
      <c r="Q201" s="1126"/>
      <c r="R201" s="1126"/>
      <c r="S201" s="1126"/>
      <c r="T201" s="1126"/>
      <c r="U201" s="1126"/>
      <c r="V201" s="1126"/>
      <c r="W201" s="1126"/>
      <c r="X201" s="1126"/>
      <c r="Y201" s="1126"/>
      <c r="Z201" s="1126"/>
      <c r="AA201" s="1126"/>
      <c r="AB201" s="1126"/>
    </row>
    <row r="202" ht="15.75" customHeight="1">
      <c r="B202" s="1126"/>
      <c r="C202" s="1126"/>
      <c r="D202" s="1126"/>
      <c r="E202" s="1126"/>
      <c r="F202" s="1126"/>
      <c r="G202" s="1126"/>
      <c r="H202" s="1126"/>
      <c r="I202" s="1126"/>
      <c r="J202" s="1126"/>
      <c r="K202" s="1126"/>
      <c r="L202" s="1126"/>
      <c r="M202" s="1126"/>
      <c r="N202" s="1126"/>
      <c r="O202" s="1126"/>
      <c r="P202" s="1126"/>
      <c r="Q202" s="1126"/>
      <c r="R202" s="1126"/>
      <c r="S202" s="1126"/>
      <c r="T202" s="1126"/>
      <c r="U202" s="1126"/>
      <c r="V202" s="1126"/>
      <c r="W202" s="1126"/>
      <c r="X202" s="1126"/>
      <c r="Y202" s="1126"/>
      <c r="Z202" s="1126"/>
      <c r="AA202" s="1126"/>
      <c r="AB202" s="1126"/>
    </row>
    <row r="203" ht="15.75" customHeight="1">
      <c r="B203" s="1126"/>
      <c r="C203" s="1126"/>
      <c r="D203" s="1126"/>
      <c r="E203" s="1126"/>
      <c r="F203" s="1126"/>
      <c r="G203" s="1126"/>
      <c r="H203" s="1126"/>
      <c r="I203" s="1126"/>
      <c r="J203" s="1126"/>
      <c r="K203" s="1126"/>
      <c r="L203" s="1126"/>
      <c r="M203" s="1126"/>
      <c r="N203" s="1126"/>
      <c r="O203" s="1126"/>
      <c r="P203" s="1126"/>
      <c r="Q203" s="1126"/>
      <c r="R203" s="1126"/>
      <c r="S203" s="1126"/>
      <c r="T203" s="1126"/>
      <c r="U203" s="1126"/>
      <c r="V203" s="1126"/>
      <c r="W203" s="1126"/>
      <c r="X203" s="1126"/>
      <c r="Y203" s="1126"/>
      <c r="Z203" s="1126"/>
      <c r="AA203" s="1126"/>
      <c r="AB203" s="1126"/>
    </row>
    <row r="204" ht="15.75" customHeight="1">
      <c r="B204" s="1126"/>
      <c r="C204" s="1126"/>
      <c r="D204" s="1126"/>
      <c r="E204" s="1126"/>
      <c r="F204" s="1126"/>
      <c r="G204" s="1126"/>
      <c r="H204" s="1126"/>
      <c r="I204" s="1126"/>
      <c r="J204" s="1126"/>
      <c r="K204" s="1126"/>
      <c r="L204" s="1126"/>
      <c r="M204" s="1126"/>
      <c r="N204" s="1126"/>
      <c r="O204" s="1126"/>
      <c r="P204" s="1126"/>
      <c r="Q204" s="1126"/>
      <c r="R204" s="1126"/>
      <c r="S204" s="1126"/>
      <c r="T204" s="1126"/>
      <c r="U204" s="1126"/>
      <c r="V204" s="1126"/>
      <c r="W204" s="1126"/>
      <c r="X204" s="1126"/>
      <c r="Y204" s="1126"/>
      <c r="Z204" s="1126"/>
      <c r="AA204" s="1126"/>
      <c r="AB204" s="1126"/>
    </row>
    <row r="205" ht="15.75" customHeight="1">
      <c r="B205" s="1126"/>
      <c r="C205" s="1126"/>
      <c r="D205" s="1126"/>
      <c r="E205" s="1126"/>
      <c r="F205" s="1126"/>
      <c r="G205" s="1126"/>
      <c r="H205" s="1126"/>
      <c r="I205" s="1126"/>
      <c r="J205" s="1126"/>
      <c r="K205" s="1126"/>
      <c r="L205" s="1126"/>
      <c r="M205" s="1126"/>
      <c r="N205" s="1126"/>
      <c r="O205" s="1126"/>
      <c r="P205" s="1126"/>
      <c r="Q205" s="1126"/>
      <c r="R205" s="1126"/>
      <c r="S205" s="1126"/>
      <c r="T205" s="1126"/>
      <c r="U205" s="1126"/>
      <c r="V205" s="1126"/>
      <c r="W205" s="1126"/>
      <c r="X205" s="1126"/>
      <c r="Y205" s="1126"/>
      <c r="Z205" s="1126"/>
      <c r="AA205" s="1126"/>
      <c r="AB205" s="1126"/>
    </row>
    <row r="206" ht="15.75" customHeight="1">
      <c r="B206" s="1126"/>
      <c r="C206" s="1126"/>
      <c r="D206" s="1126"/>
      <c r="E206" s="1126"/>
      <c r="F206" s="1126"/>
      <c r="G206" s="1126"/>
      <c r="H206" s="1126"/>
      <c r="I206" s="1126"/>
      <c r="J206" s="1126"/>
      <c r="K206" s="1126"/>
      <c r="L206" s="1126"/>
      <c r="M206" s="1126"/>
      <c r="N206" s="1126"/>
      <c r="O206" s="1126"/>
      <c r="P206" s="1126"/>
      <c r="Q206" s="1126"/>
      <c r="R206" s="1126"/>
      <c r="S206" s="1126"/>
      <c r="T206" s="1126"/>
      <c r="U206" s="1126"/>
      <c r="V206" s="1126"/>
      <c r="W206" s="1126"/>
      <c r="X206" s="1126"/>
      <c r="Y206" s="1126"/>
      <c r="Z206" s="1126"/>
      <c r="AA206" s="1126"/>
      <c r="AB206" s="1126"/>
    </row>
    <row r="207" ht="15.75" customHeight="1">
      <c r="B207" s="1126"/>
      <c r="C207" s="1126"/>
      <c r="D207" s="1126"/>
      <c r="E207" s="1126"/>
      <c r="F207" s="1126"/>
      <c r="G207" s="1126"/>
      <c r="H207" s="1126"/>
      <c r="I207" s="1126"/>
      <c r="J207" s="1126"/>
      <c r="K207" s="1126"/>
      <c r="L207" s="1126"/>
      <c r="M207" s="1126"/>
      <c r="N207" s="1126"/>
      <c r="O207" s="1126"/>
      <c r="P207" s="1126"/>
      <c r="Q207" s="1126"/>
      <c r="R207" s="1126"/>
      <c r="S207" s="1126"/>
      <c r="T207" s="1126"/>
      <c r="U207" s="1126"/>
      <c r="V207" s="1126"/>
      <c r="W207" s="1126"/>
      <c r="X207" s="1126"/>
      <c r="Y207" s="1126"/>
      <c r="Z207" s="1126"/>
      <c r="AA207" s="1126"/>
      <c r="AB207" s="1126"/>
    </row>
    <row r="208" ht="15.75" customHeight="1">
      <c r="B208" s="1126"/>
      <c r="C208" s="1126"/>
      <c r="D208" s="1126"/>
      <c r="E208" s="1126"/>
      <c r="F208" s="1126"/>
      <c r="G208" s="1126"/>
      <c r="H208" s="1126"/>
      <c r="I208" s="1126"/>
      <c r="J208" s="1126"/>
      <c r="K208" s="1126"/>
      <c r="L208" s="1126"/>
      <c r="M208" s="1126"/>
      <c r="N208" s="1126"/>
      <c r="O208" s="1126"/>
      <c r="P208" s="1126"/>
      <c r="Q208" s="1126"/>
      <c r="R208" s="1126"/>
      <c r="S208" s="1126"/>
      <c r="T208" s="1126"/>
      <c r="U208" s="1126"/>
      <c r="V208" s="1126"/>
      <c r="W208" s="1126"/>
      <c r="X208" s="1126"/>
      <c r="Y208" s="1126"/>
      <c r="Z208" s="1126"/>
      <c r="AA208" s="1126"/>
      <c r="AB208" s="1126"/>
    </row>
    <row r="209" ht="15.75" customHeight="1">
      <c r="B209" s="1126"/>
      <c r="C209" s="1126"/>
      <c r="D209" s="1126"/>
      <c r="E209" s="1126"/>
      <c r="F209" s="1126"/>
      <c r="G209" s="1126"/>
      <c r="H209" s="1126"/>
      <c r="I209" s="1126"/>
      <c r="J209" s="1126"/>
      <c r="K209" s="1126"/>
      <c r="L209" s="1126"/>
      <c r="M209" s="1126"/>
      <c r="N209" s="1126"/>
      <c r="O209" s="1126"/>
      <c r="P209" s="1126"/>
      <c r="Q209" s="1126"/>
      <c r="R209" s="1126"/>
      <c r="S209" s="1126"/>
      <c r="T209" s="1126"/>
      <c r="U209" s="1126"/>
      <c r="V209" s="1126"/>
      <c r="W209" s="1126"/>
      <c r="X209" s="1126"/>
      <c r="Y209" s="1126"/>
      <c r="Z209" s="1126"/>
      <c r="AA209" s="1126"/>
      <c r="AB209" s="1126"/>
    </row>
    <row r="210" ht="15.75" customHeight="1">
      <c r="B210" s="1126"/>
      <c r="C210" s="1126"/>
      <c r="D210" s="1126"/>
      <c r="E210" s="1126"/>
      <c r="F210" s="1126"/>
      <c r="G210" s="1126"/>
      <c r="H210" s="1126"/>
      <c r="I210" s="1126"/>
      <c r="J210" s="1126"/>
      <c r="K210" s="1126"/>
      <c r="L210" s="1126"/>
      <c r="M210" s="1126"/>
      <c r="N210" s="1126"/>
      <c r="O210" s="1126"/>
      <c r="P210" s="1126"/>
      <c r="Q210" s="1126"/>
      <c r="R210" s="1126"/>
      <c r="S210" s="1126"/>
      <c r="T210" s="1126"/>
      <c r="U210" s="1126"/>
      <c r="V210" s="1126"/>
      <c r="W210" s="1126"/>
      <c r="X210" s="1126"/>
      <c r="Y210" s="1126"/>
      <c r="Z210" s="1126"/>
      <c r="AA210" s="1126"/>
      <c r="AB210" s="1126"/>
    </row>
    <row r="211" ht="15.75" customHeight="1">
      <c r="B211" s="1126"/>
      <c r="C211" s="1126"/>
      <c r="D211" s="1126"/>
      <c r="E211" s="1126"/>
      <c r="F211" s="1126"/>
      <c r="G211" s="1126"/>
      <c r="H211" s="1126"/>
      <c r="I211" s="1126"/>
      <c r="J211" s="1126"/>
      <c r="K211" s="1126"/>
      <c r="L211" s="1126"/>
      <c r="M211" s="1126"/>
      <c r="N211" s="1126"/>
      <c r="O211" s="1126"/>
      <c r="P211" s="1126"/>
      <c r="Q211" s="1126"/>
      <c r="R211" s="1126"/>
      <c r="S211" s="1126"/>
      <c r="T211" s="1126"/>
      <c r="U211" s="1126"/>
      <c r="V211" s="1126"/>
      <c r="W211" s="1126"/>
      <c r="X211" s="1126"/>
      <c r="Y211" s="1126"/>
      <c r="Z211" s="1126"/>
      <c r="AA211" s="1126"/>
      <c r="AB211" s="1126"/>
    </row>
    <row r="212" ht="15.75" customHeight="1">
      <c r="B212" s="1126"/>
      <c r="C212" s="1126"/>
      <c r="D212" s="1126"/>
      <c r="E212" s="1126"/>
      <c r="F212" s="1126"/>
      <c r="G212" s="1126"/>
      <c r="H212" s="1126"/>
      <c r="I212" s="1126"/>
      <c r="J212" s="1126"/>
      <c r="K212" s="1126"/>
      <c r="L212" s="1126"/>
      <c r="M212" s="1126"/>
      <c r="N212" s="1126"/>
      <c r="O212" s="1126"/>
      <c r="P212" s="1126"/>
      <c r="Q212" s="1126"/>
      <c r="R212" s="1126"/>
      <c r="S212" s="1126"/>
      <c r="T212" s="1126"/>
      <c r="U212" s="1126"/>
      <c r="V212" s="1126"/>
      <c r="W212" s="1126"/>
      <c r="X212" s="1126"/>
      <c r="Y212" s="1126"/>
      <c r="Z212" s="1126"/>
      <c r="AA212" s="1126"/>
      <c r="AB212" s="1126"/>
    </row>
    <row r="213" ht="15.75" customHeight="1">
      <c r="B213" s="1126"/>
      <c r="C213" s="1126"/>
      <c r="D213" s="1126"/>
      <c r="E213" s="1126"/>
      <c r="F213" s="1126"/>
      <c r="G213" s="1126"/>
      <c r="H213" s="1126"/>
      <c r="I213" s="1126"/>
      <c r="J213" s="1126"/>
      <c r="K213" s="1126"/>
      <c r="L213" s="1126"/>
      <c r="M213" s="1126"/>
      <c r="N213" s="1126"/>
      <c r="O213" s="1126"/>
      <c r="P213" s="1126"/>
      <c r="Q213" s="1126"/>
      <c r="R213" s="1126"/>
      <c r="S213" s="1126"/>
      <c r="T213" s="1126"/>
      <c r="U213" s="1126"/>
      <c r="V213" s="1126"/>
      <c r="W213" s="1126"/>
      <c r="X213" s="1126"/>
      <c r="Y213" s="1126"/>
      <c r="Z213" s="1126"/>
      <c r="AA213" s="1126"/>
      <c r="AB213" s="1126"/>
    </row>
    <row r="214" ht="15.75" customHeight="1">
      <c r="B214" s="1126"/>
      <c r="C214" s="1126"/>
      <c r="D214" s="1126"/>
      <c r="E214" s="1126"/>
      <c r="F214" s="1126"/>
      <c r="G214" s="1126"/>
      <c r="H214" s="1126"/>
      <c r="I214" s="1126"/>
      <c r="J214" s="1126"/>
      <c r="K214" s="1126"/>
      <c r="L214" s="1126"/>
      <c r="M214" s="1126"/>
      <c r="N214" s="1126"/>
      <c r="O214" s="1126"/>
      <c r="P214" s="1126"/>
      <c r="Q214" s="1126"/>
      <c r="R214" s="1126"/>
      <c r="S214" s="1126"/>
      <c r="T214" s="1126"/>
      <c r="U214" s="1126"/>
      <c r="V214" s="1126"/>
      <c r="W214" s="1126"/>
      <c r="X214" s="1126"/>
      <c r="Y214" s="1126"/>
      <c r="Z214" s="1126"/>
      <c r="AA214" s="1126"/>
      <c r="AB214" s="1126"/>
    </row>
    <row r="215" ht="15.75" customHeight="1">
      <c r="B215" s="1126"/>
      <c r="C215" s="1126"/>
      <c r="D215" s="1126"/>
      <c r="E215" s="1126"/>
      <c r="F215" s="1126"/>
      <c r="G215" s="1126"/>
      <c r="H215" s="1126"/>
      <c r="I215" s="1126"/>
      <c r="J215" s="1126"/>
      <c r="K215" s="1126"/>
      <c r="L215" s="1126"/>
      <c r="M215" s="1126"/>
      <c r="N215" s="1126"/>
      <c r="O215" s="1126"/>
      <c r="P215" s="1126"/>
      <c r="Q215" s="1126"/>
      <c r="R215" s="1126"/>
      <c r="S215" s="1126"/>
      <c r="T215" s="1126"/>
      <c r="U215" s="1126"/>
      <c r="V215" s="1126"/>
      <c r="W215" s="1126"/>
      <c r="X215" s="1126"/>
      <c r="Y215" s="1126"/>
      <c r="Z215" s="1126"/>
      <c r="AA215" s="1126"/>
      <c r="AB215" s="1126"/>
    </row>
    <row r="216" ht="15.75" customHeight="1">
      <c r="B216" s="1126"/>
      <c r="C216" s="1126"/>
      <c r="D216" s="1126"/>
      <c r="E216" s="1126"/>
      <c r="F216" s="1126"/>
      <c r="G216" s="1126"/>
      <c r="H216" s="1126"/>
      <c r="I216" s="1126"/>
      <c r="J216" s="1126"/>
      <c r="K216" s="1126"/>
      <c r="L216" s="1126"/>
      <c r="M216" s="1126"/>
      <c r="N216" s="1126"/>
      <c r="O216" s="1126"/>
      <c r="P216" s="1126"/>
      <c r="Q216" s="1126"/>
      <c r="R216" s="1126"/>
      <c r="S216" s="1126"/>
      <c r="T216" s="1126"/>
      <c r="U216" s="1126"/>
      <c r="V216" s="1126"/>
      <c r="W216" s="1126"/>
      <c r="X216" s="1126"/>
      <c r="Y216" s="1126"/>
      <c r="Z216" s="1126"/>
      <c r="AA216" s="1126"/>
      <c r="AB216" s="1126"/>
    </row>
    <row r="217" ht="15.75" customHeight="1">
      <c r="B217" s="1126"/>
      <c r="C217" s="1126"/>
      <c r="D217" s="1126"/>
      <c r="E217" s="1126"/>
      <c r="F217" s="1126"/>
      <c r="G217" s="1126"/>
      <c r="H217" s="1126"/>
      <c r="I217" s="1126"/>
      <c r="J217" s="1126"/>
      <c r="K217" s="1126"/>
      <c r="L217" s="1126"/>
      <c r="M217" s="1126"/>
      <c r="N217" s="1126"/>
      <c r="O217" s="1126"/>
      <c r="P217" s="1126"/>
      <c r="Q217" s="1126"/>
      <c r="R217" s="1126"/>
      <c r="S217" s="1126"/>
      <c r="T217" s="1126"/>
      <c r="U217" s="1126"/>
      <c r="V217" s="1126"/>
      <c r="W217" s="1126"/>
      <c r="X217" s="1126"/>
      <c r="Y217" s="1126"/>
      <c r="Z217" s="1126"/>
      <c r="AA217" s="1126"/>
      <c r="AB217" s="1126"/>
    </row>
    <row r="218" ht="15.75" customHeight="1">
      <c r="B218" s="1126"/>
      <c r="C218" s="1126"/>
      <c r="D218" s="1126"/>
      <c r="E218" s="1126"/>
      <c r="F218" s="1126"/>
      <c r="G218" s="1126"/>
      <c r="H218" s="1126"/>
      <c r="I218" s="1126"/>
      <c r="J218" s="1126"/>
      <c r="K218" s="1126"/>
      <c r="L218" s="1126"/>
      <c r="M218" s="1126"/>
      <c r="N218" s="1126"/>
      <c r="O218" s="1126"/>
      <c r="P218" s="1126"/>
      <c r="Q218" s="1126"/>
      <c r="R218" s="1126"/>
      <c r="S218" s="1126"/>
      <c r="T218" s="1126"/>
      <c r="U218" s="1126"/>
      <c r="V218" s="1126"/>
      <c r="W218" s="1126"/>
      <c r="X218" s="1126"/>
      <c r="Y218" s="1126"/>
      <c r="Z218" s="1126"/>
      <c r="AA218" s="1126"/>
      <c r="AB218" s="1126"/>
    </row>
    <row r="219" ht="15.75" customHeight="1">
      <c r="B219" s="1126"/>
      <c r="C219" s="1126"/>
      <c r="D219" s="1126"/>
      <c r="E219" s="1126"/>
      <c r="F219" s="1126"/>
      <c r="G219" s="1126"/>
      <c r="H219" s="1126"/>
      <c r="I219" s="1126"/>
      <c r="J219" s="1126"/>
      <c r="K219" s="1126"/>
      <c r="L219" s="1126"/>
      <c r="M219" s="1126"/>
      <c r="N219" s="1126"/>
      <c r="O219" s="1126"/>
      <c r="P219" s="1126"/>
      <c r="Q219" s="1126"/>
      <c r="R219" s="1126"/>
      <c r="S219" s="1126"/>
      <c r="T219" s="1126"/>
      <c r="U219" s="1126"/>
      <c r="V219" s="1126"/>
      <c r="W219" s="1126"/>
      <c r="X219" s="1126"/>
      <c r="Y219" s="1126"/>
      <c r="Z219" s="1126"/>
      <c r="AA219" s="1126"/>
      <c r="AB219" s="1126"/>
    </row>
    <row r="220" ht="15.75" customHeight="1">
      <c r="B220" s="1126"/>
      <c r="C220" s="1126"/>
      <c r="D220" s="1126"/>
      <c r="E220" s="1126"/>
      <c r="F220" s="1126"/>
      <c r="G220" s="1126"/>
      <c r="H220" s="1126"/>
      <c r="I220" s="1126"/>
      <c r="J220" s="1126"/>
      <c r="K220" s="1126"/>
      <c r="L220" s="1126"/>
      <c r="M220" s="1126"/>
      <c r="N220" s="1126"/>
      <c r="O220" s="1126"/>
      <c r="P220" s="1126"/>
      <c r="Q220" s="1126"/>
      <c r="R220" s="1126"/>
      <c r="S220" s="1126"/>
      <c r="T220" s="1126"/>
      <c r="U220" s="1126"/>
      <c r="V220" s="1126"/>
      <c r="W220" s="1126"/>
      <c r="X220" s="1126"/>
      <c r="Y220" s="1126"/>
      <c r="Z220" s="1126"/>
      <c r="AA220" s="1126"/>
      <c r="AB220" s="1126"/>
    </row>
    <row r="221" ht="15.75" customHeight="1">
      <c r="B221" s="1126"/>
      <c r="C221" s="1126"/>
      <c r="D221" s="1126"/>
      <c r="E221" s="1126"/>
      <c r="F221" s="1126"/>
      <c r="G221" s="1126"/>
      <c r="H221" s="1126"/>
      <c r="I221" s="1126"/>
      <c r="J221" s="1126"/>
      <c r="K221" s="1126"/>
      <c r="L221" s="1126"/>
      <c r="M221" s="1126"/>
      <c r="N221" s="1126"/>
      <c r="O221" s="1126"/>
      <c r="P221" s="1126"/>
      <c r="Q221" s="1126"/>
      <c r="R221" s="1126"/>
      <c r="S221" s="1126"/>
      <c r="T221" s="1126"/>
      <c r="U221" s="1126"/>
      <c r="V221" s="1126"/>
      <c r="W221" s="1126"/>
      <c r="X221" s="1126"/>
      <c r="Y221" s="1126"/>
      <c r="Z221" s="1126"/>
      <c r="AA221" s="1126"/>
      <c r="AB221" s="1126"/>
    </row>
    <row r="222" ht="15.75" customHeight="1">
      <c r="B222" s="1126"/>
      <c r="C222" s="1126"/>
      <c r="D222" s="1126"/>
      <c r="E222" s="1126"/>
      <c r="F222" s="1126"/>
      <c r="G222" s="1126"/>
      <c r="H222" s="1126"/>
      <c r="I222" s="1126"/>
      <c r="J222" s="1126"/>
      <c r="K222" s="1126"/>
      <c r="L222" s="1126"/>
      <c r="M222" s="1126"/>
      <c r="N222" s="1126"/>
      <c r="O222" s="1126"/>
      <c r="P222" s="1126"/>
      <c r="Q222" s="1126"/>
      <c r="R222" s="1126"/>
      <c r="S222" s="1126"/>
      <c r="T222" s="1126"/>
      <c r="U222" s="1126"/>
      <c r="V222" s="1126"/>
      <c r="W222" s="1126"/>
      <c r="X222" s="1126"/>
      <c r="Y222" s="1126"/>
      <c r="Z222" s="1126"/>
      <c r="AA222" s="1126"/>
      <c r="AB222" s="1126"/>
    </row>
    <row r="223" ht="15.75" customHeight="1">
      <c r="B223" s="1126"/>
      <c r="C223" s="1126"/>
      <c r="D223" s="1126"/>
      <c r="E223" s="1126"/>
      <c r="F223" s="1126"/>
      <c r="G223" s="1126"/>
      <c r="H223" s="1126"/>
      <c r="I223" s="1126"/>
      <c r="J223" s="1126"/>
      <c r="K223" s="1126"/>
      <c r="L223" s="1126"/>
      <c r="M223" s="1126"/>
      <c r="N223" s="1126"/>
      <c r="O223" s="1126"/>
      <c r="P223" s="1126"/>
      <c r="Q223" s="1126"/>
      <c r="R223" s="1126"/>
      <c r="S223" s="1126"/>
      <c r="T223" s="1126"/>
      <c r="U223" s="1126"/>
      <c r="V223" s="1126"/>
      <c r="W223" s="1126"/>
      <c r="X223" s="1126"/>
      <c r="Y223" s="1126"/>
      <c r="Z223" s="1126"/>
      <c r="AA223" s="1126"/>
      <c r="AB223" s="1126"/>
    </row>
    <row r="224" ht="15.75" customHeight="1">
      <c r="B224" s="1126"/>
      <c r="C224" s="1126"/>
      <c r="D224" s="1126"/>
      <c r="E224" s="1126"/>
      <c r="F224" s="1126"/>
      <c r="G224" s="1126"/>
      <c r="H224" s="1126"/>
      <c r="I224" s="1126"/>
      <c r="J224" s="1126"/>
      <c r="K224" s="1126"/>
      <c r="L224" s="1126"/>
      <c r="M224" s="1126"/>
      <c r="N224" s="1126"/>
      <c r="O224" s="1126"/>
      <c r="P224" s="1126"/>
      <c r="Q224" s="1126"/>
      <c r="R224" s="1126"/>
      <c r="S224" s="1126"/>
      <c r="T224" s="1126"/>
      <c r="U224" s="1126"/>
      <c r="V224" s="1126"/>
      <c r="W224" s="1126"/>
      <c r="X224" s="1126"/>
      <c r="Y224" s="1126"/>
      <c r="Z224" s="1126"/>
      <c r="AA224" s="1126"/>
      <c r="AB224" s="1126"/>
    </row>
    <row r="225" ht="15.75" customHeight="1">
      <c r="B225" s="1126"/>
      <c r="C225" s="1126"/>
      <c r="D225" s="1126"/>
      <c r="E225" s="1126"/>
      <c r="F225" s="1126"/>
      <c r="G225" s="1126"/>
      <c r="H225" s="1126"/>
      <c r="I225" s="1126"/>
      <c r="J225" s="1126"/>
      <c r="K225" s="1126"/>
      <c r="L225" s="1126"/>
      <c r="M225" s="1126"/>
      <c r="N225" s="1126"/>
      <c r="O225" s="1126"/>
      <c r="P225" s="1126"/>
      <c r="Q225" s="1126"/>
      <c r="R225" s="1126"/>
      <c r="S225" s="1126"/>
      <c r="T225" s="1126"/>
      <c r="U225" s="1126"/>
      <c r="V225" s="1126"/>
      <c r="W225" s="1126"/>
      <c r="X225" s="1126"/>
      <c r="Y225" s="1126"/>
      <c r="Z225" s="1126"/>
      <c r="AA225" s="1126"/>
      <c r="AB225" s="1126"/>
    </row>
    <row r="226" ht="15.75" customHeight="1">
      <c r="B226" s="1126"/>
      <c r="C226" s="1126"/>
      <c r="D226" s="1126"/>
      <c r="E226" s="1126"/>
      <c r="F226" s="1126"/>
      <c r="G226" s="1126"/>
      <c r="H226" s="1126"/>
      <c r="I226" s="1126"/>
      <c r="J226" s="1126"/>
      <c r="K226" s="1126"/>
      <c r="L226" s="1126"/>
      <c r="M226" s="1126"/>
      <c r="N226" s="1126"/>
      <c r="O226" s="1126"/>
      <c r="P226" s="1126"/>
      <c r="Q226" s="1126"/>
      <c r="R226" s="1126"/>
      <c r="S226" s="1126"/>
      <c r="T226" s="1126"/>
      <c r="U226" s="1126"/>
      <c r="V226" s="1126"/>
      <c r="W226" s="1126"/>
      <c r="X226" s="1126"/>
      <c r="Y226" s="1126"/>
      <c r="Z226" s="1126"/>
      <c r="AA226" s="1126"/>
      <c r="AB226" s="1126"/>
    </row>
    <row r="227" ht="15.75" customHeight="1">
      <c r="B227" s="1126"/>
      <c r="C227" s="1126"/>
      <c r="D227" s="1126"/>
      <c r="E227" s="1126"/>
      <c r="F227" s="1126"/>
      <c r="G227" s="1126"/>
      <c r="H227" s="1126"/>
      <c r="I227" s="1126"/>
      <c r="J227" s="1126"/>
      <c r="K227" s="1126"/>
      <c r="L227" s="1126"/>
      <c r="M227" s="1126"/>
      <c r="N227" s="1126"/>
      <c r="O227" s="1126"/>
      <c r="P227" s="1126"/>
      <c r="Q227" s="1126"/>
      <c r="R227" s="1126"/>
      <c r="S227" s="1126"/>
      <c r="T227" s="1126"/>
      <c r="U227" s="1126"/>
      <c r="V227" s="1126"/>
      <c r="W227" s="1126"/>
      <c r="X227" s="1126"/>
      <c r="Y227" s="1126"/>
      <c r="Z227" s="1126"/>
      <c r="AA227" s="1126"/>
      <c r="AB227" s="1126"/>
    </row>
    <row r="228" ht="15.75" customHeight="1">
      <c r="B228" s="1126"/>
      <c r="C228" s="1126"/>
      <c r="D228" s="1126"/>
      <c r="E228" s="1126"/>
      <c r="F228" s="1126"/>
      <c r="G228" s="1126"/>
      <c r="H228" s="1126"/>
      <c r="I228" s="1126"/>
      <c r="J228" s="1126"/>
      <c r="K228" s="1126"/>
      <c r="L228" s="1126"/>
      <c r="M228" s="1126"/>
      <c r="N228" s="1126"/>
      <c r="O228" s="1126"/>
      <c r="P228" s="1126"/>
      <c r="Q228" s="1126"/>
      <c r="R228" s="1126"/>
      <c r="S228" s="1126"/>
      <c r="T228" s="1126"/>
      <c r="U228" s="1126"/>
      <c r="V228" s="1126"/>
      <c r="W228" s="1126"/>
      <c r="X228" s="1126"/>
      <c r="Y228" s="1126"/>
      <c r="Z228" s="1126"/>
      <c r="AA228" s="1126"/>
      <c r="AB228" s="1126"/>
    </row>
    <row r="229" ht="15.75" customHeight="1">
      <c r="B229" s="1126"/>
      <c r="C229" s="1126"/>
      <c r="D229" s="1126"/>
      <c r="E229" s="1126"/>
      <c r="F229" s="1126"/>
      <c r="G229" s="1126"/>
      <c r="H229" s="1126"/>
      <c r="I229" s="1126"/>
      <c r="J229" s="1126"/>
      <c r="K229" s="1126"/>
      <c r="L229" s="1126"/>
      <c r="M229" s="1126"/>
      <c r="N229" s="1126"/>
      <c r="O229" s="1126"/>
      <c r="P229" s="1126"/>
      <c r="Q229" s="1126"/>
      <c r="R229" s="1126"/>
      <c r="S229" s="1126"/>
      <c r="T229" s="1126"/>
      <c r="U229" s="1126"/>
      <c r="V229" s="1126"/>
      <c r="W229" s="1126"/>
      <c r="X229" s="1126"/>
      <c r="Y229" s="1126"/>
      <c r="Z229" s="1126"/>
      <c r="AA229" s="1126"/>
      <c r="AB229" s="1126"/>
    </row>
    <row r="230" ht="15.75" customHeight="1">
      <c r="B230" s="1126"/>
      <c r="C230" s="1126"/>
      <c r="D230" s="1126"/>
      <c r="E230" s="1126"/>
      <c r="F230" s="1126"/>
      <c r="G230" s="1126"/>
      <c r="H230" s="1126"/>
      <c r="I230" s="1126"/>
      <c r="J230" s="1126"/>
      <c r="K230" s="1126"/>
      <c r="L230" s="1126"/>
      <c r="M230" s="1126"/>
      <c r="N230" s="1126"/>
      <c r="O230" s="1126"/>
      <c r="P230" s="1126"/>
      <c r="Q230" s="1126"/>
      <c r="R230" s="1126"/>
      <c r="S230" s="1126"/>
      <c r="T230" s="1126"/>
      <c r="U230" s="1126"/>
      <c r="V230" s="1126"/>
      <c r="W230" s="1126"/>
      <c r="X230" s="1126"/>
      <c r="Y230" s="1126"/>
      <c r="Z230" s="1126"/>
      <c r="AA230" s="1126"/>
      <c r="AB230" s="1126"/>
    </row>
    <row r="231" ht="15.75" customHeight="1">
      <c r="B231" s="1126"/>
      <c r="C231" s="1126"/>
      <c r="D231" s="1126"/>
      <c r="E231" s="1126"/>
      <c r="F231" s="1126"/>
      <c r="G231" s="1126"/>
      <c r="H231" s="1126"/>
      <c r="I231" s="1126"/>
      <c r="J231" s="1126"/>
      <c r="K231" s="1126"/>
      <c r="L231" s="1126"/>
      <c r="M231" s="1126"/>
      <c r="N231" s="1126"/>
      <c r="O231" s="1126"/>
      <c r="P231" s="1126"/>
      <c r="Q231" s="1126"/>
      <c r="R231" s="1126"/>
      <c r="S231" s="1126"/>
      <c r="T231" s="1126"/>
      <c r="U231" s="1126"/>
      <c r="V231" s="1126"/>
      <c r="W231" s="1126"/>
      <c r="X231" s="1126"/>
      <c r="Y231" s="1126"/>
      <c r="Z231" s="1126"/>
      <c r="AA231" s="1126"/>
      <c r="AB231" s="1126"/>
    </row>
    <row r="232" ht="15.75" customHeight="1">
      <c r="B232" s="1126"/>
      <c r="C232" s="1126"/>
      <c r="D232" s="1126"/>
      <c r="E232" s="1126"/>
      <c r="F232" s="1126"/>
      <c r="G232" s="1126"/>
      <c r="H232" s="1126"/>
      <c r="I232" s="1126"/>
      <c r="J232" s="1126"/>
      <c r="K232" s="1126"/>
      <c r="L232" s="1126"/>
      <c r="M232" s="1126"/>
      <c r="N232" s="1126"/>
      <c r="O232" s="1126"/>
      <c r="P232" s="1126"/>
      <c r="Q232" s="1126"/>
      <c r="R232" s="1126"/>
      <c r="S232" s="1126"/>
      <c r="T232" s="1126"/>
      <c r="U232" s="1126"/>
      <c r="V232" s="1126"/>
      <c r="W232" s="1126"/>
      <c r="X232" s="1126"/>
      <c r="Y232" s="1126"/>
      <c r="Z232" s="1126"/>
      <c r="AA232" s="1126"/>
      <c r="AB232" s="1126"/>
    </row>
    <row r="233" ht="15.75" customHeight="1">
      <c r="B233" s="1126"/>
      <c r="C233" s="1126"/>
      <c r="D233" s="1126"/>
      <c r="E233" s="1126"/>
      <c r="F233" s="1126"/>
      <c r="G233" s="1126"/>
      <c r="H233" s="1126"/>
      <c r="I233" s="1126"/>
      <c r="J233" s="1126"/>
      <c r="K233" s="1126"/>
      <c r="L233" s="1126"/>
      <c r="M233" s="1126"/>
      <c r="N233" s="1126"/>
      <c r="O233" s="1126"/>
      <c r="P233" s="1126"/>
      <c r="Q233" s="1126"/>
      <c r="R233" s="1126"/>
      <c r="S233" s="1126"/>
      <c r="T233" s="1126"/>
      <c r="U233" s="1126"/>
      <c r="V233" s="1126"/>
      <c r="W233" s="1126"/>
      <c r="X233" s="1126"/>
      <c r="Y233" s="1126"/>
      <c r="Z233" s="1126"/>
      <c r="AA233" s="1126"/>
      <c r="AB233" s="1126"/>
    </row>
    <row r="234" ht="15.75" customHeight="1">
      <c r="B234" s="1126"/>
      <c r="C234" s="1126"/>
      <c r="D234" s="1126"/>
      <c r="E234" s="1126"/>
      <c r="F234" s="1126"/>
      <c r="G234" s="1126"/>
      <c r="H234" s="1126"/>
      <c r="I234" s="1126"/>
      <c r="J234" s="1126"/>
      <c r="K234" s="1126"/>
      <c r="L234" s="1126"/>
      <c r="M234" s="1126"/>
      <c r="N234" s="1126"/>
      <c r="O234" s="1126"/>
      <c r="P234" s="1126"/>
      <c r="Q234" s="1126"/>
      <c r="R234" s="1126"/>
      <c r="S234" s="1126"/>
      <c r="T234" s="1126"/>
      <c r="U234" s="1126"/>
      <c r="V234" s="1126"/>
      <c r="W234" s="1126"/>
      <c r="X234" s="1126"/>
      <c r="Y234" s="1126"/>
      <c r="Z234" s="1126"/>
      <c r="AA234" s="1126"/>
      <c r="AB234" s="1126"/>
    </row>
    <row r="235" ht="15.75" customHeight="1">
      <c r="B235" s="1126"/>
      <c r="C235" s="1126"/>
      <c r="D235" s="1126"/>
      <c r="E235" s="1126"/>
      <c r="F235" s="1126"/>
      <c r="G235" s="1126"/>
      <c r="H235" s="1126"/>
      <c r="I235" s="1126"/>
      <c r="J235" s="1126"/>
      <c r="K235" s="1126"/>
      <c r="L235" s="1126"/>
      <c r="M235" s="1126"/>
      <c r="N235" s="1126"/>
      <c r="O235" s="1126"/>
      <c r="P235" s="1126"/>
      <c r="Q235" s="1126"/>
      <c r="R235" s="1126"/>
      <c r="S235" s="1126"/>
      <c r="T235" s="1126"/>
      <c r="U235" s="1126"/>
      <c r="V235" s="1126"/>
      <c r="W235" s="1126"/>
      <c r="X235" s="1126"/>
      <c r="Y235" s="1126"/>
      <c r="Z235" s="1126"/>
      <c r="AA235" s="1126"/>
      <c r="AB235" s="1126"/>
    </row>
    <row r="236" ht="15.75" customHeight="1">
      <c r="B236" s="1126"/>
      <c r="C236" s="1126"/>
      <c r="D236" s="1126"/>
      <c r="E236" s="1126"/>
      <c r="F236" s="1126"/>
      <c r="G236" s="1126"/>
      <c r="H236" s="1126"/>
      <c r="I236" s="1126"/>
      <c r="J236" s="1126"/>
      <c r="K236" s="1126"/>
      <c r="L236" s="1126"/>
      <c r="M236" s="1126"/>
      <c r="N236" s="1126"/>
      <c r="O236" s="1126"/>
      <c r="P236" s="1126"/>
      <c r="Q236" s="1126"/>
      <c r="R236" s="1126"/>
      <c r="S236" s="1126"/>
      <c r="T236" s="1126"/>
      <c r="U236" s="1126"/>
      <c r="V236" s="1126"/>
      <c r="W236" s="1126"/>
      <c r="X236" s="1126"/>
      <c r="Y236" s="1126"/>
      <c r="Z236" s="1126"/>
      <c r="AA236" s="1126"/>
      <c r="AB236" s="1126"/>
    </row>
    <row r="237" ht="15.75" customHeight="1">
      <c r="B237" s="1126"/>
      <c r="C237" s="1126"/>
      <c r="D237" s="1126"/>
      <c r="E237" s="1126"/>
      <c r="F237" s="1126"/>
      <c r="G237" s="1126"/>
      <c r="H237" s="1126"/>
      <c r="I237" s="1126"/>
      <c r="J237" s="1126"/>
      <c r="K237" s="1126"/>
      <c r="L237" s="1126"/>
      <c r="M237" s="1126"/>
      <c r="N237" s="1126"/>
      <c r="O237" s="1126"/>
      <c r="P237" s="1126"/>
      <c r="Q237" s="1126"/>
      <c r="R237" s="1126"/>
      <c r="S237" s="1126"/>
      <c r="T237" s="1126"/>
      <c r="U237" s="1126"/>
      <c r="V237" s="1126"/>
      <c r="W237" s="1126"/>
      <c r="X237" s="1126"/>
      <c r="Y237" s="1126"/>
      <c r="Z237" s="1126"/>
      <c r="AA237" s="1126"/>
      <c r="AB237" s="1126"/>
    </row>
    <row r="238" ht="15.75" customHeight="1">
      <c r="B238" s="1126"/>
      <c r="C238" s="1126"/>
      <c r="D238" s="1126"/>
      <c r="E238" s="1126"/>
      <c r="F238" s="1126"/>
      <c r="G238" s="1126"/>
      <c r="H238" s="1126"/>
      <c r="I238" s="1126"/>
      <c r="J238" s="1126"/>
      <c r="K238" s="1126"/>
      <c r="L238" s="1126"/>
      <c r="M238" s="1126"/>
      <c r="N238" s="1126"/>
      <c r="O238" s="1126"/>
      <c r="P238" s="1126"/>
      <c r="Q238" s="1126"/>
      <c r="R238" s="1126"/>
      <c r="S238" s="1126"/>
      <c r="T238" s="1126"/>
      <c r="U238" s="1126"/>
      <c r="V238" s="1126"/>
      <c r="W238" s="1126"/>
      <c r="X238" s="1126"/>
      <c r="Y238" s="1126"/>
      <c r="Z238" s="1126"/>
      <c r="AA238" s="1126"/>
      <c r="AB238" s="1126"/>
    </row>
    <row r="239" ht="15.75" customHeight="1">
      <c r="B239" s="1126"/>
      <c r="C239" s="1126"/>
      <c r="D239" s="1126"/>
      <c r="E239" s="1126"/>
      <c r="F239" s="1126"/>
      <c r="G239" s="1126"/>
      <c r="H239" s="1126"/>
      <c r="I239" s="1126"/>
      <c r="J239" s="1126"/>
      <c r="K239" s="1126"/>
      <c r="L239" s="1126"/>
      <c r="M239" s="1126"/>
      <c r="N239" s="1126"/>
      <c r="O239" s="1126"/>
      <c r="P239" s="1126"/>
      <c r="Q239" s="1126"/>
      <c r="R239" s="1126"/>
      <c r="S239" s="1126"/>
      <c r="T239" s="1126"/>
      <c r="U239" s="1126"/>
      <c r="V239" s="1126"/>
      <c r="W239" s="1126"/>
      <c r="X239" s="1126"/>
      <c r="Y239" s="1126"/>
      <c r="Z239" s="1126"/>
      <c r="AA239" s="1126"/>
      <c r="AB239" s="1126"/>
    </row>
    <row r="240" ht="15.75" customHeight="1">
      <c r="B240" s="1126"/>
      <c r="C240" s="1126"/>
      <c r="D240" s="1126"/>
      <c r="E240" s="1126"/>
      <c r="F240" s="1126"/>
      <c r="G240" s="1126"/>
      <c r="H240" s="1126"/>
      <c r="I240" s="1126"/>
      <c r="J240" s="1126"/>
      <c r="K240" s="1126"/>
      <c r="L240" s="1126"/>
      <c r="M240" s="1126"/>
      <c r="N240" s="1126"/>
      <c r="O240" s="1126"/>
      <c r="P240" s="1126"/>
      <c r="Q240" s="1126"/>
      <c r="R240" s="1126"/>
      <c r="S240" s="1126"/>
      <c r="T240" s="1126"/>
      <c r="U240" s="1126"/>
      <c r="V240" s="1126"/>
      <c r="W240" s="1126"/>
      <c r="X240" s="1126"/>
      <c r="Y240" s="1126"/>
      <c r="Z240" s="1126"/>
      <c r="AA240" s="1126"/>
      <c r="AB240" s="1126"/>
    </row>
    <row r="241" ht="15.75" customHeight="1">
      <c r="B241" s="1126"/>
      <c r="C241" s="1126"/>
      <c r="D241" s="1126"/>
      <c r="E241" s="1126"/>
      <c r="F241" s="1126"/>
      <c r="G241" s="1126"/>
      <c r="H241" s="1126"/>
      <c r="I241" s="1126"/>
      <c r="J241" s="1126"/>
      <c r="K241" s="1126"/>
      <c r="L241" s="1126"/>
      <c r="M241" s="1126"/>
      <c r="N241" s="1126"/>
      <c r="O241" s="1126"/>
      <c r="P241" s="1126"/>
      <c r="Q241" s="1126"/>
      <c r="R241" s="1126"/>
      <c r="S241" s="1126"/>
      <c r="T241" s="1126"/>
      <c r="U241" s="1126"/>
      <c r="V241" s="1126"/>
      <c r="W241" s="1126"/>
      <c r="X241" s="1126"/>
      <c r="Y241" s="1126"/>
      <c r="Z241" s="1126"/>
      <c r="AA241" s="1126"/>
      <c r="AB241" s="1126"/>
    </row>
    <row r="242" ht="15.75" customHeight="1">
      <c r="B242" s="1126"/>
      <c r="C242" s="1126"/>
      <c r="D242" s="1126"/>
      <c r="E242" s="1126"/>
      <c r="F242" s="1126"/>
      <c r="G242" s="1126"/>
      <c r="H242" s="1126"/>
      <c r="I242" s="1126"/>
      <c r="J242" s="1126"/>
      <c r="K242" s="1126"/>
      <c r="L242" s="1126"/>
      <c r="M242" s="1126"/>
      <c r="N242" s="1126"/>
      <c r="O242" s="1126"/>
      <c r="P242" s="1126"/>
      <c r="Q242" s="1126"/>
      <c r="R242" s="1126"/>
      <c r="S242" s="1126"/>
      <c r="T242" s="1126"/>
      <c r="U242" s="1126"/>
      <c r="V242" s="1126"/>
      <c r="W242" s="1126"/>
      <c r="X242" s="1126"/>
      <c r="Y242" s="1126"/>
      <c r="Z242" s="1126"/>
      <c r="AA242" s="1126"/>
      <c r="AB242" s="1126"/>
    </row>
    <row r="243" ht="15.75" customHeight="1">
      <c r="B243" s="1126"/>
      <c r="C243" s="1126"/>
      <c r="D243" s="1126"/>
      <c r="E243" s="1126"/>
      <c r="F243" s="1126"/>
      <c r="G243" s="1126"/>
      <c r="H243" s="1126"/>
      <c r="I243" s="1126"/>
      <c r="J243" s="1126"/>
      <c r="K243" s="1126"/>
      <c r="L243" s="1126"/>
      <c r="M243" s="1126"/>
      <c r="N243" s="1126"/>
      <c r="O243" s="1126"/>
      <c r="P243" s="1126"/>
      <c r="Q243" s="1126"/>
      <c r="R243" s="1126"/>
      <c r="S243" s="1126"/>
      <c r="T243" s="1126"/>
      <c r="U243" s="1126"/>
      <c r="V243" s="1126"/>
      <c r="W243" s="1126"/>
      <c r="X243" s="1126"/>
      <c r="Y243" s="1126"/>
      <c r="Z243" s="1126"/>
      <c r="AA243" s="1126"/>
      <c r="AB243" s="1126"/>
    </row>
    <row r="244" ht="15.75" customHeight="1">
      <c r="B244" s="1126"/>
      <c r="C244" s="1126"/>
      <c r="D244" s="1126"/>
      <c r="E244" s="1126"/>
      <c r="F244" s="1126"/>
      <c r="G244" s="1126"/>
      <c r="H244" s="1126"/>
      <c r="I244" s="1126"/>
      <c r="J244" s="1126"/>
      <c r="K244" s="1126"/>
      <c r="L244" s="1126"/>
      <c r="M244" s="1126"/>
      <c r="N244" s="1126"/>
      <c r="O244" s="1126"/>
      <c r="P244" s="1126"/>
      <c r="Q244" s="1126"/>
      <c r="R244" s="1126"/>
      <c r="S244" s="1126"/>
      <c r="T244" s="1126"/>
      <c r="U244" s="1126"/>
      <c r="V244" s="1126"/>
      <c r="W244" s="1126"/>
      <c r="X244" s="1126"/>
      <c r="Y244" s="1126"/>
      <c r="Z244" s="1126"/>
      <c r="AA244" s="1126"/>
      <c r="AB244" s="1126"/>
    </row>
    <row r="245" ht="15.75" customHeight="1">
      <c r="B245" s="1126"/>
      <c r="C245" s="1126"/>
      <c r="D245" s="1126"/>
      <c r="E245" s="1126"/>
      <c r="F245" s="1126"/>
      <c r="G245" s="1126"/>
      <c r="H245" s="1126"/>
      <c r="I245" s="1126"/>
      <c r="J245" s="1126"/>
      <c r="K245" s="1126"/>
      <c r="L245" s="1126"/>
      <c r="M245" s="1126"/>
      <c r="N245" s="1126"/>
      <c r="O245" s="1126"/>
      <c r="P245" s="1126"/>
      <c r="Q245" s="1126"/>
      <c r="R245" s="1126"/>
      <c r="S245" s="1126"/>
      <c r="T245" s="1126"/>
      <c r="U245" s="1126"/>
      <c r="V245" s="1126"/>
      <c r="W245" s="1126"/>
      <c r="X245" s="1126"/>
      <c r="Y245" s="1126"/>
      <c r="Z245" s="1126"/>
      <c r="AA245" s="1126"/>
      <c r="AB245" s="1126"/>
    </row>
    <row r="246" ht="15.75" customHeight="1">
      <c r="B246" s="1126"/>
      <c r="C246" s="1126"/>
      <c r="D246" s="1126"/>
      <c r="E246" s="1126"/>
      <c r="F246" s="1126"/>
      <c r="G246" s="1126"/>
      <c r="H246" s="1126"/>
      <c r="I246" s="1126"/>
      <c r="J246" s="1126"/>
      <c r="K246" s="1126"/>
      <c r="L246" s="1126"/>
      <c r="M246" s="1126"/>
      <c r="N246" s="1126"/>
      <c r="O246" s="1126"/>
      <c r="P246" s="1126"/>
      <c r="Q246" s="1126"/>
      <c r="R246" s="1126"/>
      <c r="S246" s="1126"/>
      <c r="T246" s="1126"/>
      <c r="U246" s="1126"/>
      <c r="V246" s="1126"/>
      <c r="W246" s="1126"/>
      <c r="X246" s="1126"/>
      <c r="Y246" s="1126"/>
      <c r="Z246" s="1126"/>
      <c r="AA246" s="1126"/>
      <c r="AB246" s="1126"/>
    </row>
    <row r="247" ht="15.75" customHeight="1">
      <c r="B247" s="1126"/>
      <c r="C247" s="1126"/>
      <c r="D247" s="1126"/>
      <c r="E247" s="1126"/>
      <c r="F247" s="1126"/>
      <c r="G247" s="1126"/>
      <c r="H247" s="1126"/>
      <c r="I247" s="1126"/>
      <c r="J247" s="1126"/>
      <c r="K247" s="1126"/>
      <c r="L247" s="1126"/>
      <c r="M247" s="1126"/>
      <c r="N247" s="1126"/>
      <c r="O247" s="1126"/>
      <c r="P247" s="1126"/>
      <c r="Q247" s="1126"/>
      <c r="R247" s="1126"/>
      <c r="S247" s="1126"/>
      <c r="T247" s="1126"/>
      <c r="U247" s="1126"/>
      <c r="V247" s="1126"/>
      <c r="W247" s="1126"/>
      <c r="X247" s="1126"/>
      <c r="Y247" s="1126"/>
      <c r="Z247" s="1126"/>
      <c r="AA247" s="1126"/>
      <c r="AB247" s="1126"/>
    </row>
    <row r="248" ht="15.75" customHeight="1">
      <c r="B248" s="1126"/>
      <c r="C248" s="1126"/>
      <c r="D248" s="1126"/>
      <c r="E248" s="1126"/>
      <c r="F248" s="1126"/>
      <c r="G248" s="1126"/>
      <c r="H248" s="1126"/>
      <c r="I248" s="1126"/>
      <c r="J248" s="1126"/>
      <c r="K248" s="1126"/>
      <c r="L248" s="1126"/>
      <c r="M248" s="1126"/>
      <c r="N248" s="1126"/>
      <c r="O248" s="1126"/>
      <c r="P248" s="1126"/>
      <c r="Q248" s="1126"/>
      <c r="R248" s="1126"/>
      <c r="S248" s="1126"/>
      <c r="T248" s="1126"/>
      <c r="U248" s="1126"/>
      <c r="V248" s="1126"/>
      <c r="W248" s="1126"/>
      <c r="X248" s="1126"/>
      <c r="Y248" s="1126"/>
      <c r="Z248" s="1126"/>
      <c r="AA248" s="1126"/>
      <c r="AB248" s="1126"/>
    </row>
    <row r="249" ht="15.75" customHeight="1">
      <c r="B249" s="1126"/>
      <c r="C249" s="1126"/>
      <c r="D249" s="1126"/>
      <c r="E249" s="1126"/>
      <c r="F249" s="1126"/>
      <c r="G249" s="1126"/>
      <c r="H249" s="1126"/>
      <c r="I249" s="1126"/>
      <c r="J249" s="1126"/>
      <c r="K249" s="1126"/>
      <c r="L249" s="1126"/>
      <c r="M249" s="1126"/>
      <c r="N249" s="1126"/>
      <c r="O249" s="1126"/>
      <c r="P249" s="1126"/>
      <c r="Q249" s="1126"/>
      <c r="R249" s="1126"/>
      <c r="S249" s="1126"/>
      <c r="T249" s="1126"/>
      <c r="U249" s="1126"/>
      <c r="V249" s="1126"/>
      <c r="W249" s="1126"/>
      <c r="X249" s="1126"/>
      <c r="Y249" s="1126"/>
      <c r="Z249" s="1126"/>
      <c r="AA249" s="1126"/>
      <c r="AB249" s="1126"/>
    </row>
    <row r="250" ht="15.75" customHeight="1">
      <c r="B250" s="1126"/>
      <c r="C250" s="1126"/>
      <c r="D250" s="1126"/>
      <c r="E250" s="1126"/>
      <c r="F250" s="1126"/>
      <c r="G250" s="1126"/>
      <c r="H250" s="1126"/>
      <c r="I250" s="1126"/>
      <c r="J250" s="1126"/>
      <c r="K250" s="1126"/>
      <c r="L250" s="1126"/>
      <c r="M250" s="1126"/>
      <c r="N250" s="1126"/>
      <c r="O250" s="1126"/>
      <c r="P250" s="1126"/>
      <c r="Q250" s="1126"/>
      <c r="R250" s="1126"/>
      <c r="S250" s="1126"/>
      <c r="T250" s="1126"/>
      <c r="U250" s="1126"/>
      <c r="V250" s="1126"/>
      <c r="W250" s="1126"/>
      <c r="X250" s="1126"/>
      <c r="Y250" s="1126"/>
      <c r="Z250" s="1126"/>
      <c r="AA250" s="1126"/>
      <c r="AB250" s="1126"/>
    </row>
    <row r="251" ht="15.75" customHeight="1">
      <c r="B251" s="1126"/>
      <c r="C251" s="1126"/>
      <c r="D251" s="1126"/>
      <c r="E251" s="1126"/>
      <c r="F251" s="1126"/>
      <c r="G251" s="1126"/>
      <c r="H251" s="1126"/>
      <c r="I251" s="1126"/>
      <c r="J251" s="1126"/>
      <c r="K251" s="1126"/>
      <c r="L251" s="1126"/>
      <c r="M251" s="1126"/>
      <c r="N251" s="1126"/>
      <c r="O251" s="1126"/>
      <c r="P251" s="1126"/>
      <c r="Q251" s="1126"/>
      <c r="R251" s="1126"/>
      <c r="S251" s="1126"/>
      <c r="T251" s="1126"/>
      <c r="U251" s="1126"/>
      <c r="V251" s="1126"/>
      <c r="W251" s="1126"/>
      <c r="X251" s="1126"/>
      <c r="Y251" s="1126"/>
      <c r="Z251" s="1126"/>
      <c r="AA251" s="1126"/>
      <c r="AB251" s="1126"/>
    </row>
    <row r="252" ht="15.75" customHeight="1">
      <c r="B252" s="1126"/>
      <c r="C252" s="1126"/>
      <c r="D252" s="1126"/>
      <c r="E252" s="1126"/>
      <c r="F252" s="1126"/>
      <c r="G252" s="1126"/>
      <c r="H252" s="1126"/>
      <c r="I252" s="1126"/>
      <c r="J252" s="1126"/>
      <c r="K252" s="1126"/>
      <c r="L252" s="1126"/>
      <c r="M252" s="1126"/>
      <c r="N252" s="1126"/>
      <c r="O252" s="1126"/>
      <c r="P252" s="1126"/>
      <c r="Q252" s="1126"/>
      <c r="R252" s="1126"/>
      <c r="S252" s="1126"/>
      <c r="T252" s="1126"/>
      <c r="U252" s="1126"/>
      <c r="V252" s="1126"/>
      <c r="W252" s="1126"/>
      <c r="X252" s="1126"/>
      <c r="Y252" s="1126"/>
      <c r="Z252" s="1126"/>
      <c r="AA252" s="1126"/>
      <c r="AB252" s="1126"/>
    </row>
    <row r="253" ht="15.75" customHeight="1">
      <c r="B253" s="1126"/>
      <c r="C253" s="1126"/>
      <c r="D253" s="1126"/>
      <c r="E253" s="1126"/>
      <c r="F253" s="1126"/>
      <c r="G253" s="1126"/>
      <c r="H253" s="1126"/>
      <c r="I253" s="1126"/>
      <c r="J253" s="1126"/>
      <c r="K253" s="1126"/>
      <c r="L253" s="1126"/>
      <c r="M253" s="1126"/>
      <c r="N253" s="1126"/>
      <c r="O253" s="1126"/>
      <c r="P253" s="1126"/>
      <c r="Q253" s="1126"/>
      <c r="R253" s="1126"/>
      <c r="S253" s="1126"/>
      <c r="T253" s="1126"/>
      <c r="U253" s="1126"/>
      <c r="V253" s="1126"/>
      <c r="W253" s="1126"/>
      <c r="X253" s="1126"/>
      <c r="Y253" s="1126"/>
      <c r="Z253" s="1126"/>
      <c r="AA253" s="1126"/>
      <c r="AB253" s="1126"/>
    </row>
    <row r="254" ht="15.75" customHeight="1">
      <c r="B254" s="1126"/>
      <c r="C254" s="1126"/>
      <c r="D254" s="1126"/>
      <c r="E254" s="1126"/>
      <c r="F254" s="1126"/>
      <c r="G254" s="1126"/>
      <c r="H254" s="1126"/>
      <c r="I254" s="1126"/>
      <c r="J254" s="1126"/>
      <c r="K254" s="1126"/>
      <c r="L254" s="1126"/>
      <c r="M254" s="1126"/>
      <c r="N254" s="1126"/>
      <c r="O254" s="1126"/>
      <c r="P254" s="1126"/>
      <c r="Q254" s="1126"/>
      <c r="R254" s="1126"/>
      <c r="S254" s="1126"/>
      <c r="T254" s="1126"/>
      <c r="U254" s="1126"/>
      <c r="V254" s="1126"/>
      <c r="W254" s="1126"/>
      <c r="X254" s="1126"/>
      <c r="Y254" s="1126"/>
      <c r="Z254" s="1126"/>
      <c r="AA254" s="1126"/>
      <c r="AB254" s="1126"/>
    </row>
    <row r="255" ht="15.75" customHeight="1">
      <c r="B255" s="1126"/>
      <c r="C255" s="1126"/>
      <c r="D255" s="1126"/>
      <c r="E255" s="1126"/>
      <c r="F255" s="1126"/>
      <c r="G255" s="1126"/>
      <c r="H255" s="1126"/>
      <c r="I255" s="1126"/>
      <c r="J255" s="1126"/>
      <c r="K255" s="1126"/>
      <c r="L255" s="1126"/>
      <c r="M255" s="1126"/>
      <c r="N255" s="1126"/>
      <c r="O255" s="1126"/>
      <c r="P255" s="1126"/>
      <c r="Q255" s="1126"/>
      <c r="R255" s="1126"/>
      <c r="S255" s="1126"/>
      <c r="T255" s="1126"/>
      <c r="U255" s="1126"/>
      <c r="V255" s="1126"/>
      <c r="W255" s="1126"/>
      <c r="X255" s="1126"/>
      <c r="Y255" s="1126"/>
      <c r="Z255" s="1126"/>
      <c r="AA255" s="1126"/>
      <c r="AB255" s="1126"/>
    </row>
    <row r="256" ht="15.75" customHeight="1">
      <c r="B256" s="1126"/>
      <c r="C256" s="1126"/>
      <c r="D256" s="1126"/>
      <c r="E256" s="1126"/>
      <c r="F256" s="1126"/>
      <c r="G256" s="1126"/>
      <c r="H256" s="1126"/>
      <c r="I256" s="1126"/>
      <c r="J256" s="1126"/>
      <c r="K256" s="1126"/>
      <c r="L256" s="1126"/>
      <c r="M256" s="1126"/>
      <c r="N256" s="1126"/>
      <c r="O256" s="1126"/>
      <c r="P256" s="1126"/>
      <c r="Q256" s="1126"/>
      <c r="R256" s="1126"/>
      <c r="S256" s="1126"/>
      <c r="T256" s="1126"/>
      <c r="U256" s="1126"/>
      <c r="V256" s="1126"/>
      <c r="W256" s="1126"/>
      <c r="X256" s="1126"/>
      <c r="Y256" s="1126"/>
      <c r="Z256" s="1126"/>
      <c r="AA256" s="1126"/>
      <c r="AB256" s="1126"/>
    </row>
    <row r="257" ht="15.75" customHeight="1">
      <c r="B257" s="1126"/>
      <c r="C257" s="1126"/>
      <c r="D257" s="1126"/>
      <c r="E257" s="1126"/>
      <c r="F257" s="1126"/>
      <c r="G257" s="1126"/>
      <c r="H257" s="1126"/>
      <c r="I257" s="1126"/>
      <c r="J257" s="1126"/>
      <c r="K257" s="1126"/>
      <c r="L257" s="1126"/>
      <c r="M257" s="1126"/>
      <c r="N257" s="1126"/>
      <c r="O257" s="1126"/>
      <c r="P257" s="1126"/>
      <c r="Q257" s="1126"/>
      <c r="R257" s="1126"/>
      <c r="S257" s="1126"/>
      <c r="T257" s="1126"/>
      <c r="U257" s="1126"/>
      <c r="V257" s="1126"/>
      <c r="W257" s="1126"/>
      <c r="X257" s="1126"/>
      <c r="Y257" s="1126"/>
      <c r="Z257" s="1126"/>
      <c r="AA257" s="1126"/>
      <c r="AB257" s="1126"/>
    </row>
    <row r="258" ht="15.75" customHeight="1">
      <c r="B258" s="1126"/>
      <c r="C258" s="1126"/>
      <c r="D258" s="1126"/>
      <c r="E258" s="1126"/>
      <c r="F258" s="1126"/>
      <c r="G258" s="1126"/>
      <c r="H258" s="1126"/>
      <c r="I258" s="1126"/>
      <c r="J258" s="1126"/>
      <c r="K258" s="1126"/>
      <c r="L258" s="1126"/>
      <c r="M258" s="1126"/>
      <c r="N258" s="1126"/>
      <c r="O258" s="1126"/>
      <c r="P258" s="1126"/>
      <c r="Q258" s="1126"/>
      <c r="R258" s="1126"/>
      <c r="S258" s="1126"/>
      <c r="T258" s="1126"/>
      <c r="U258" s="1126"/>
      <c r="V258" s="1126"/>
      <c r="W258" s="1126"/>
      <c r="X258" s="1126"/>
      <c r="Y258" s="1126"/>
      <c r="Z258" s="1126"/>
      <c r="AA258" s="1126"/>
      <c r="AB258" s="1126"/>
    </row>
    <row r="259" ht="15.75" customHeight="1">
      <c r="B259" s="1126"/>
      <c r="C259" s="1126"/>
      <c r="D259" s="1126"/>
      <c r="E259" s="1126"/>
      <c r="F259" s="1126"/>
      <c r="G259" s="1126"/>
      <c r="H259" s="1126"/>
      <c r="I259" s="1126"/>
      <c r="J259" s="1126"/>
      <c r="K259" s="1126"/>
      <c r="L259" s="1126"/>
      <c r="M259" s="1126"/>
      <c r="N259" s="1126"/>
      <c r="O259" s="1126"/>
      <c r="P259" s="1126"/>
      <c r="Q259" s="1126"/>
      <c r="R259" s="1126"/>
      <c r="S259" s="1126"/>
      <c r="T259" s="1126"/>
      <c r="U259" s="1126"/>
      <c r="V259" s="1126"/>
      <c r="W259" s="1126"/>
      <c r="X259" s="1126"/>
      <c r="Y259" s="1126"/>
      <c r="Z259" s="1126"/>
      <c r="AA259" s="1126"/>
      <c r="AB259" s="1126"/>
    </row>
    <row r="260" ht="15.75" customHeight="1">
      <c r="B260" s="1126"/>
      <c r="C260" s="1126"/>
      <c r="D260" s="1126"/>
      <c r="E260" s="1126"/>
      <c r="F260" s="1126"/>
      <c r="G260" s="1126"/>
      <c r="H260" s="1126"/>
      <c r="I260" s="1126"/>
      <c r="J260" s="1126"/>
      <c r="K260" s="1126"/>
      <c r="L260" s="1126"/>
      <c r="M260" s="1126"/>
      <c r="N260" s="1126"/>
      <c r="O260" s="1126"/>
      <c r="P260" s="1126"/>
      <c r="Q260" s="1126"/>
      <c r="R260" s="1126"/>
      <c r="S260" s="1126"/>
      <c r="T260" s="1126"/>
      <c r="U260" s="1126"/>
      <c r="V260" s="1126"/>
      <c r="W260" s="1126"/>
      <c r="X260" s="1126"/>
      <c r="Y260" s="1126"/>
      <c r="Z260" s="1126"/>
      <c r="AA260" s="1126"/>
      <c r="AB260" s="1126"/>
    </row>
    <row r="261" ht="15.75" customHeight="1">
      <c r="B261" s="1126"/>
      <c r="C261" s="1126"/>
      <c r="D261" s="1126"/>
      <c r="E261" s="1126"/>
      <c r="F261" s="1126"/>
      <c r="G261" s="1126"/>
      <c r="H261" s="1126"/>
      <c r="I261" s="1126"/>
      <c r="J261" s="1126"/>
      <c r="K261" s="1126"/>
      <c r="L261" s="1126"/>
      <c r="M261" s="1126"/>
      <c r="N261" s="1126"/>
      <c r="O261" s="1126"/>
      <c r="P261" s="1126"/>
      <c r="Q261" s="1126"/>
      <c r="R261" s="1126"/>
      <c r="S261" s="1126"/>
      <c r="T261" s="1126"/>
      <c r="U261" s="1126"/>
      <c r="V261" s="1126"/>
      <c r="W261" s="1126"/>
      <c r="X261" s="1126"/>
      <c r="Y261" s="1126"/>
      <c r="Z261" s="1126"/>
      <c r="AA261" s="1126"/>
      <c r="AB261" s="1126"/>
    </row>
    <row r="262" ht="15.75" customHeight="1">
      <c r="B262" s="1126"/>
      <c r="C262" s="1126"/>
      <c r="D262" s="1126"/>
      <c r="E262" s="1126"/>
      <c r="F262" s="1126"/>
      <c r="G262" s="1126"/>
      <c r="H262" s="1126"/>
      <c r="I262" s="1126"/>
      <c r="J262" s="1126"/>
      <c r="K262" s="1126"/>
      <c r="L262" s="1126"/>
      <c r="M262" s="1126"/>
      <c r="N262" s="1126"/>
      <c r="O262" s="1126"/>
      <c r="P262" s="1126"/>
      <c r="Q262" s="1126"/>
      <c r="R262" s="1126"/>
      <c r="S262" s="1126"/>
      <c r="T262" s="1126"/>
      <c r="U262" s="1126"/>
      <c r="V262" s="1126"/>
      <c r="W262" s="1126"/>
      <c r="X262" s="1126"/>
      <c r="Y262" s="1126"/>
      <c r="Z262" s="1126"/>
      <c r="AA262" s="1126"/>
      <c r="AB262" s="1126"/>
    </row>
    <row r="263" ht="15.75" customHeight="1">
      <c r="B263" s="1126"/>
      <c r="C263" s="1126"/>
      <c r="D263" s="1126"/>
      <c r="E263" s="1126"/>
      <c r="F263" s="1126"/>
      <c r="G263" s="1126"/>
      <c r="H263" s="1126"/>
      <c r="I263" s="1126"/>
      <c r="J263" s="1126"/>
      <c r="K263" s="1126"/>
      <c r="L263" s="1126"/>
      <c r="M263" s="1126"/>
      <c r="N263" s="1126"/>
      <c r="O263" s="1126"/>
      <c r="P263" s="1126"/>
      <c r="Q263" s="1126"/>
      <c r="R263" s="1126"/>
      <c r="S263" s="1126"/>
      <c r="T263" s="1126"/>
      <c r="U263" s="1126"/>
      <c r="V263" s="1126"/>
      <c r="W263" s="1126"/>
      <c r="X263" s="1126"/>
      <c r="Y263" s="1126"/>
      <c r="Z263" s="1126"/>
      <c r="AA263" s="1126"/>
      <c r="AB263" s="1126"/>
    </row>
    <row r="264" ht="15.75" customHeight="1">
      <c r="B264" s="1126"/>
      <c r="C264" s="1126"/>
      <c r="D264" s="1126"/>
      <c r="E264" s="1126"/>
      <c r="F264" s="1126"/>
      <c r="G264" s="1126"/>
      <c r="H264" s="1126"/>
      <c r="I264" s="1126"/>
      <c r="J264" s="1126"/>
      <c r="K264" s="1126"/>
      <c r="L264" s="1126"/>
      <c r="M264" s="1126"/>
      <c r="N264" s="1126"/>
      <c r="O264" s="1126"/>
      <c r="P264" s="1126"/>
      <c r="Q264" s="1126"/>
      <c r="R264" s="1126"/>
      <c r="S264" s="1126"/>
      <c r="T264" s="1126"/>
      <c r="U264" s="1126"/>
      <c r="V264" s="1126"/>
      <c r="W264" s="1126"/>
      <c r="X264" s="1126"/>
      <c r="Y264" s="1126"/>
      <c r="Z264" s="1126"/>
      <c r="AA264" s="1126"/>
      <c r="AB264" s="1126"/>
    </row>
    <row r="265" ht="15.75" customHeight="1">
      <c r="B265" s="1126"/>
      <c r="C265" s="1126"/>
      <c r="D265" s="1126"/>
      <c r="E265" s="1126"/>
      <c r="F265" s="1126"/>
      <c r="G265" s="1126"/>
      <c r="H265" s="1126"/>
      <c r="I265" s="1126"/>
      <c r="J265" s="1126"/>
      <c r="K265" s="1126"/>
      <c r="L265" s="1126"/>
      <c r="M265" s="1126"/>
      <c r="N265" s="1126"/>
      <c r="O265" s="1126"/>
      <c r="P265" s="1126"/>
      <c r="Q265" s="1126"/>
      <c r="R265" s="1126"/>
      <c r="S265" s="1126"/>
      <c r="T265" s="1126"/>
      <c r="U265" s="1126"/>
      <c r="V265" s="1126"/>
      <c r="W265" s="1126"/>
      <c r="X265" s="1126"/>
      <c r="Y265" s="1126"/>
      <c r="Z265" s="1126"/>
      <c r="AA265" s="1126"/>
      <c r="AB265" s="1126"/>
    </row>
    <row r="266" ht="15.75" customHeight="1">
      <c r="B266" s="1126"/>
      <c r="C266" s="1126"/>
      <c r="D266" s="1126"/>
      <c r="E266" s="1126"/>
      <c r="F266" s="1126"/>
      <c r="G266" s="1126"/>
      <c r="H266" s="1126"/>
      <c r="I266" s="1126"/>
      <c r="J266" s="1126"/>
      <c r="K266" s="1126"/>
      <c r="L266" s="1126"/>
      <c r="M266" s="1126"/>
      <c r="N266" s="1126"/>
      <c r="O266" s="1126"/>
      <c r="P266" s="1126"/>
      <c r="Q266" s="1126"/>
      <c r="R266" s="1126"/>
      <c r="S266" s="1126"/>
      <c r="T266" s="1126"/>
      <c r="U266" s="1126"/>
      <c r="V266" s="1126"/>
      <c r="W266" s="1126"/>
      <c r="X266" s="1126"/>
      <c r="Y266" s="1126"/>
      <c r="Z266" s="1126"/>
      <c r="AA266" s="1126"/>
      <c r="AB266" s="1126"/>
    </row>
    <row r="267" ht="15.75" customHeight="1">
      <c r="B267" s="1126"/>
      <c r="C267" s="1126"/>
      <c r="D267" s="1126"/>
      <c r="E267" s="1126"/>
      <c r="F267" s="1126"/>
      <c r="G267" s="1126"/>
      <c r="H267" s="1126"/>
      <c r="I267" s="1126"/>
      <c r="J267" s="1126"/>
      <c r="K267" s="1126"/>
      <c r="L267" s="1126"/>
      <c r="M267" s="1126"/>
      <c r="N267" s="1126"/>
      <c r="O267" s="1126"/>
      <c r="P267" s="1126"/>
      <c r="Q267" s="1126"/>
      <c r="R267" s="1126"/>
      <c r="S267" s="1126"/>
      <c r="T267" s="1126"/>
      <c r="U267" s="1126"/>
      <c r="V267" s="1126"/>
      <c r="W267" s="1126"/>
      <c r="X267" s="1126"/>
      <c r="Y267" s="1126"/>
      <c r="Z267" s="1126"/>
      <c r="AA267" s="1126"/>
      <c r="AB267" s="1126"/>
    </row>
    <row r="268" ht="15.75" customHeight="1">
      <c r="B268" s="1126"/>
      <c r="C268" s="1126"/>
      <c r="D268" s="1126"/>
      <c r="E268" s="1126"/>
      <c r="F268" s="1126"/>
      <c r="G268" s="1126"/>
      <c r="H268" s="1126"/>
      <c r="I268" s="1126"/>
      <c r="J268" s="1126"/>
      <c r="K268" s="1126"/>
      <c r="L268" s="1126"/>
      <c r="M268" s="1126"/>
      <c r="N268" s="1126"/>
      <c r="O268" s="1126"/>
      <c r="P268" s="1126"/>
      <c r="Q268" s="1126"/>
      <c r="R268" s="1126"/>
      <c r="S268" s="1126"/>
      <c r="T268" s="1126"/>
      <c r="U268" s="1126"/>
      <c r="V268" s="1126"/>
      <c r="W268" s="1126"/>
      <c r="X268" s="1126"/>
      <c r="Y268" s="1126"/>
      <c r="Z268" s="1126"/>
      <c r="AA268" s="1126"/>
      <c r="AB268" s="1126"/>
    </row>
    <row r="269" ht="15.75" customHeight="1">
      <c r="B269" s="1126"/>
      <c r="C269" s="1126"/>
      <c r="D269" s="1126"/>
      <c r="E269" s="1126"/>
      <c r="F269" s="1126"/>
      <c r="G269" s="1126"/>
      <c r="H269" s="1126"/>
      <c r="I269" s="1126"/>
      <c r="J269" s="1126"/>
      <c r="K269" s="1126"/>
      <c r="L269" s="1126"/>
      <c r="M269" s="1126"/>
      <c r="N269" s="1126"/>
      <c r="O269" s="1126"/>
      <c r="P269" s="1126"/>
      <c r="Q269" s="1126"/>
      <c r="R269" s="1126"/>
      <c r="S269" s="1126"/>
      <c r="T269" s="1126"/>
      <c r="U269" s="1126"/>
      <c r="V269" s="1126"/>
      <c r="W269" s="1126"/>
      <c r="X269" s="1126"/>
      <c r="Y269" s="1126"/>
      <c r="Z269" s="1126"/>
      <c r="AA269" s="1126"/>
      <c r="AB269" s="1126"/>
    </row>
    <row r="270" ht="15.75" customHeight="1">
      <c r="B270" s="1126"/>
      <c r="C270" s="1126"/>
      <c r="D270" s="1126"/>
      <c r="E270" s="1126"/>
      <c r="F270" s="1126"/>
      <c r="G270" s="1126"/>
      <c r="H270" s="1126"/>
      <c r="I270" s="1126"/>
      <c r="J270" s="1126"/>
      <c r="K270" s="1126"/>
      <c r="L270" s="1126"/>
      <c r="M270" s="1126"/>
      <c r="N270" s="1126"/>
      <c r="O270" s="1126"/>
      <c r="P270" s="1126"/>
      <c r="Q270" s="1126"/>
      <c r="R270" s="1126"/>
      <c r="S270" s="1126"/>
      <c r="T270" s="1126"/>
      <c r="U270" s="1126"/>
      <c r="V270" s="1126"/>
      <c r="W270" s="1126"/>
      <c r="X270" s="1126"/>
      <c r="Y270" s="1126"/>
      <c r="Z270" s="1126"/>
      <c r="AA270" s="1126"/>
      <c r="AB270" s="1126"/>
    </row>
    <row r="271" ht="15.75" customHeight="1">
      <c r="B271" s="1126"/>
      <c r="C271" s="1126"/>
      <c r="D271" s="1126"/>
      <c r="E271" s="1126"/>
      <c r="F271" s="1126"/>
      <c r="G271" s="1126"/>
      <c r="H271" s="1126"/>
      <c r="I271" s="1126"/>
      <c r="J271" s="1126"/>
      <c r="K271" s="1126"/>
      <c r="L271" s="1126"/>
      <c r="M271" s="1126"/>
      <c r="N271" s="1126"/>
      <c r="O271" s="1126"/>
      <c r="P271" s="1126"/>
      <c r="Q271" s="1126"/>
      <c r="R271" s="1126"/>
      <c r="S271" s="1126"/>
      <c r="T271" s="1126"/>
      <c r="U271" s="1126"/>
      <c r="V271" s="1126"/>
      <c r="W271" s="1126"/>
      <c r="X271" s="1126"/>
      <c r="Y271" s="1126"/>
      <c r="Z271" s="1126"/>
      <c r="AA271" s="1126"/>
      <c r="AB271" s="1126"/>
    </row>
    <row r="272" ht="15.75" customHeight="1">
      <c r="B272" s="1126"/>
      <c r="C272" s="1126"/>
      <c r="D272" s="1126"/>
      <c r="E272" s="1126"/>
      <c r="F272" s="1126"/>
      <c r="G272" s="1126"/>
      <c r="H272" s="1126"/>
      <c r="I272" s="1126"/>
      <c r="J272" s="1126"/>
      <c r="K272" s="1126"/>
      <c r="L272" s="1126"/>
      <c r="M272" s="1126"/>
      <c r="N272" s="1126"/>
      <c r="O272" s="1126"/>
      <c r="P272" s="1126"/>
      <c r="Q272" s="1126"/>
      <c r="R272" s="1126"/>
      <c r="S272" s="1126"/>
      <c r="T272" s="1126"/>
      <c r="U272" s="1126"/>
      <c r="V272" s="1126"/>
      <c r="W272" s="1126"/>
      <c r="X272" s="1126"/>
      <c r="Y272" s="1126"/>
      <c r="Z272" s="1126"/>
      <c r="AA272" s="1126"/>
      <c r="AB272" s="1126"/>
    </row>
    <row r="273" ht="15.75" customHeight="1">
      <c r="B273" s="1126"/>
      <c r="C273" s="1126"/>
      <c r="D273" s="1126"/>
      <c r="E273" s="1126"/>
      <c r="F273" s="1126"/>
      <c r="G273" s="1126"/>
      <c r="H273" s="1126"/>
      <c r="I273" s="1126"/>
      <c r="J273" s="1126"/>
      <c r="K273" s="1126"/>
      <c r="L273" s="1126"/>
      <c r="M273" s="1126"/>
      <c r="N273" s="1126"/>
      <c r="O273" s="1126"/>
      <c r="P273" s="1126"/>
      <c r="Q273" s="1126"/>
      <c r="R273" s="1126"/>
      <c r="S273" s="1126"/>
      <c r="T273" s="1126"/>
      <c r="U273" s="1126"/>
      <c r="V273" s="1126"/>
      <c r="W273" s="1126"/>
      <c r="X273" s="1126"/>
      <c r="Y273" s="1126"/>
      <c r="Z273" s="1126"/>
      <c r="AA273" s="1126"/>
      <c r="AB273" s="1126"/>
    </row>
    <row r="274" ht="15.75" customHeight="1">
      <c r="B274" s="1126"/>
      <c r="C274" s="1126"/>
      <c r="D274" s="1126"/>
      <c r="E274" s="1126"/>
      <c r="F274" s="1126"/>
      <c r="G274" s="1126"/>
      <c r="H274" s="1126"/>
      <c r="I274" s="1126"/>
      <c r="J274" s="1126"/>
      <c r="K274" s="1126"/>
      <c r="L274" s="1126"/>
      <c r="M274" s="1126"/>
      <c r="N274" s="1126"/>
      <c r="O274" s="1126"/>
      <c r="P274" s="1126"/>
      <c r="Q274" s="1126"/>
      <c r="R274" s="1126"/>
      <c r="S274" s="1126"/>
      <c r="T274" s="1126"/>
      <c r="U274" s="1126"/>
      <c r="V274" s="1126"/>
      <c r="W274" s="1126"/>
      <c r="X274" s="1126"/>
      <c r="Y274" s="1126"/>
      <c r="Z274" s="1126"/>
      <c r="AA274" s="1126"/>
      <c r="AB274" s="1126"/>
    </row>
    <row r="275" ht="15.75" customHeight="1">
      <c r="B275" s="1126"/>
      <c r="C275" s="1126"/>
      <c r="D275" s="1126"/>
      <c r="E275" s="1126"/>
      <c r="F275" s="1126"/>
      <c r="G275" s="1126"/>
      <c r="H275" s="1126"/>
      <c r="I275" s="1126"/>
      <c r="J275" s="1126"/>
      <c r="K275" s="1126"/>
      <c r="L275" s="1126"/>
      <c r="M275" s="1126"/>
      <c r="N275" s="1126"/>
      <c r="O275" s="1126"/>
      <c r="P275" s="1126"/>
      <c r="Q275" s="1126"/>
      <c r="R275" s="1126"/>
      <c r="S275" s="1126"/>
      <c r="T275" s="1126"/>
      <c r="U275" s="1126"/>
      <c r="V275" s="1126"/>
      <c r="W275" s="1126"/>
      <c r="X275" s="1126"/>
      <c r="Y275" s="1126"/>
      <c r="Z275" s="1126"/>
      <c r="AA275" s="1126"/>
      <c r="AB275" s="1126"/>
    </row>
    <row r="276" ht="15.75" customHeight="1">
      <c r="B276" s="1126"/>
      <c r="C276" s="1126"/>
      <c r="D276" s="1126"/>
      <c r="E276" s="1126"/>
      <c r="F276" s="1126"/>
      <c r="G276" s="1126"/>
      <c r="H276" s="1126"/>
      <c r="I276" s="1126"/>
      <c r="J276" s="1126"/>
      <c r="K276" s="1126"/>
      <c r="L276" s="1126"/>
      <c r="M276" s="1126"/>
      <c r="N276" s="1126"/>
      <c r="O276" s="1126"/>
      <c r="P276" s="1126"/>
      <c r="Q276" s="1126"/>
      <c r="R276" s="1126"/>
      <c r="S276" s="1126"/>
      <c r="T276" s="1126"/>
      <c r="U276" s="1126"/>
      <c r="V276" s="1126"/>
      <c r="W276" s="1126"/>
      <c r="X276" s="1126"/>
      <c r="Y276" s="1126"/>
      <c r="Z276" s="1126"/>
      <c r="AA276" s="1126"/>
      <c r="AB276" s="1126"/>
    </row>
    <row r="277" ht="15.75" customHeight="1">
      <c r="B277" s="1126"/>
      <c r="C277" s="1126"/>
      <c r="D277" s="1126"/>
      <c r="E277" s="1126"/>
      <c r="F277" s="1126"/>
      <c r="G277" s="1126"/>
      <c r="H277" s="1126"/>
      <c r="I277" s="1126"/>
      <c r="J277" s="1126"/>
      <c r="K277" s="1126"/>
      <c r="L277" s="1126"/>
      <c r="M277" s="1126"/>
      <c r="N277" s="1126"/>
      <c r="O277" s="1126"/>
      <c r="P277" s="1126"/>
      <c r="Q277" s="1126"/>
      <c r="R277" s="1126"/>
      <c r="S277" s="1126"/>
      <c r="T277" s="1126"/>
      <c r="U277" s="1126"/>
      <c r="V277" s="1126"/>
      <c r="W277" s="1126"/>
      <c r="X277" s="1126"/>
      <c r="Y277" s="1126"/>
      <c r="Z277" s="1126"/>
      <c r="AA277" s="1126"/>
      <c r="AB277" s="1126"/>
    </row>
    <row r="278" ht="15.75" customHeight="1">
      <c r="B278" s="1126"/>
      <c r="C278" s="1126"/>
      <c r="D278" s="1126"/>
      <c r="E278" s="1126"/>
      <c r="F278" s="1126"/>
      <c r="G278" s="1126"/>
      <c r="H278" s="1126"/>
      <c r="I278" s="1126"/>
      <c r="J278" s="1126"/>
      <c r="K278" s="1126"/>
      <c r="L278" s="1126"/>
      <c r="M278" s="1126"/>
      <c r="N278" s="1126"/>
      <c r="O278" s="1126"/>
      <c r="P278" s="1126"/>
      <c r="Q278" s="1126"/>
      <c r="R278" s="1126"/>
      <c r="S278" s="1126"/>
      <c r="T278" s="1126"/>
      <c r="U278" s="1126"/>
      <c r="V278" s="1126"/>
      <c r="W278" s="1126"/>
      <c r="X278" s="1126"/>
      <c r="Y278" s="1126"/>
      <c r="Z278" s="1126"/>
      <c r="AA278" s="1126"/>
      <c r="AB278" s="1126"/>
    </row>
    <row r="279" ht="15.75" customHeight="1">
      <c r="B279" s="1126"/>
      <c r="C279" s="1126"/>
      <c r="D279" s="1126"/>
      <c r="E279" s="1126"/>
      <c r="F279" s="1126"/>
      <c r="G279" s="1126"/>
      <c r="H279" s="1126"/>
      <c r="I279" s="1126"/>
      <c r="J279" s="1126"/>
      <c r="K279" s="1126"/>
      <c r="L279" s="1126"/>
      <c r="M279" s="1126"/>
      <c r="N279" s="1126"/>
      <c r="O279" s="1126"/>
      <c r="P279" s="1126"/>
      <c r="Q279" s="1126"/>
      <c r="R279" s="1126"/>
      <c r="S279" s="1126"/>
      <c r="T279" s="1126"/>
      <c r="U279" s="1126"/>
      <c r="V279" s="1126"/>
      <c r="W279" s="1126"/>
      <c r="X279" s="1126"/>
      <c r="Y279" s="1126"/>
      <c r="Z279" s="1126"/>
      <c r="AA279" s="1126"/>
      <c r="AB279" s="1126"/>
    </row>
    <row r="280" ht="15.75" customHeight="1">
      <c r="B280" s="1126"/>
      <c r="C280" s="1126"/>
      <c r="D280" s="1126"/>
      <c r="E280" s="1126"/>
      <c r="F280" s="1126"/>
      <c r="G280" s="1126"/>
      <c r="H280" s="1126"/>
      <c r="I280" s="1126"/>
      <c r="J280" s="1126"/>
      <c r="K280" s="1126"/>
      <c r="L280" s="1126"/>
      <c r="M280" s="1126"/>
      <c r="N280" s="1126"/>
      <c r="O280" s="1126"/>
      <c r="P280" s="1126"/>
      <c r="Q280" s="1126"/>
      <c r="R280" s="1126"/>
      <c r="S280" s="1126"/>
      <c r="T280" s="1126"/>
      <c r="U280" s="1126"/>
      <c r="V280" s="1126"/>
      <c r="W280" s="1126"/>
      <c r="X280" s="1126"/>
      <c r="Y280" s="1126"/>
      <c r="Z280" s="1126"/>
      <c r="AA280" s="1126"/>
      <c r="AB280" s="1126"/>
    </row>
    <row r="281" ht="15.75" customHeight="1">
      <c r="B281" s="1126"/>
      <c r="C281" s="1126"/>
      <c r="D281" s="1126"/>
      <c r="E281" s="1126"/>
      <c r="F281" s="1126"/>
      <c r="G281" s="1126"/>
      <c r="H281" s="1126"/>
      <c r="I281" s="1126"/>
      <c r="J281" s="1126"/>
      <c r="K281" s="1126"/>
      <c r="L281" s="1126"/>
      <c r="M281" s="1126"/>
      <c r="N281" s="1126"/>
      <c r="O281" s="1126"/>
      <c r="P281" s="1126"/>
      <c r="Q281" s="1126"/>
      <c r="R281" s="1126"/>
      <c r="S281" s="1126"/>
      <c r="T281" s="1126"/>
      <c r="U281" s="1126"/>
      <c r="V281" s="1126"/>
      <c r="W281" s="1126"/>
      <c r="X281" s="1126"/>
      <c r="Y281" s="1126"/>
      <c r="Z281" s="1126"/>
      <c r="AA281" s="1126"/>
      <c r="AB281" s="1126"/>
    </row>
    <row r="282" ht="15.75" customHeight="1">
      <c r="B282" s="1126"/>
      <c r="C282" s="1126"/>
      <c r="D282" s="1126"/>
      <c r="E282" s="1126"/>
      <c r="F282" s="1126"/>
      <c r="G282" s="1126"/>
      <c r="H282" s="1126"/>
      <c r="I282" s="1126"/>
      <c r="J282" s="1126"/>
      <c r="K282" s="1126"/>
      <c r="L282" s="1126"/>
      <c r="M282" s="1126"/>
      <c r="N282" s="1126"/>
      <c r="O282" s="1126"/>
      <c r="P282" s="1126"/>
      <c r="Q282" s="1126"/>
      <c r="R282" s="1126"/>
      <c r="S282" s="1126"/>
      <c r="T282" s="1126"/>
      <c r="U282" s="1126"/>
      <c r="V282" s="1126"/>
      <c r="W282" s="1126"/>
      <c r="X282" s="1126"/>
      <c r="Y282" s="1126"/>
      <c r="Z282" s="1126"/>
      <c r="AA282" s="1126"/>
      <c r="AB282" s="1126"/>
    </row>
    <row r="283" ht="15.75" customHeight="1">
      <c r="B283" s="1126"/>
      <c r="C283" s="1126"/>
      <c r="D283" s="1126"/>
      <c r="E283" s="1126"/>
      <c r="F283" s="1126"/>
      <c r="G283" s="1126"/>
      <c r="H283" s="1126"/>
      <c r="I283" s="1126"/>
      <c r="J283" s="1126"/>
      <c r="K283" s="1126"/>
      <c r="L283" s="1126"/>
      <c r="M283" s="1126"/>
      <c r="N283" s="1126"/>
      <c r="O283" s="1126"/>
      <c r="P283" s="1126"/>
      <c r="Q283" s="1126"/>
      <c r="R283" s="1126"/>
      <c r="S283" s="1126"/>
      <c r="T283" s="1126"/>
      <c r="U283" s="1126"/>
      <c r="V283" s="1126"/>
      <c r="W283" s="1126"/>
      <c r="X283" s="1126"/>
      <c r="Y283" s="1126"/>
      <c r="Z283" s="1126"/>
      <c r="AA283" s="1126"/>
      <c r="AB283" s="1126"/>
    </row>
    <row r="284" ht="15.75" customHeight="1">
      <c r="B284" s="1126"/>
      <c r="C284" s="1126"/>
      <c r="D284" s="1126"/>
      <c r="E284" s="1126"/>
      <c r="F284" s="1126"/>
      <c r="G284" s="1126"/>
      <c r="H284" s="1126"/>
      <c r="I284" s="1126"/>
      <c r="J284" s="1126"/>
      <c r="K284" s="1126"/>
      <c r="L284" s="1126"/>
      <c r="M284" s="1126"/>
      <c r="N284" s="1126"/>
      <c r="O284" s="1126"/>
      <c r="P284" s="1126"/>
      <c r="Q284" s="1126"/>
      <c r="R284" s="1126"/>
      <c r="S284" s="1126"/>
      <c r="T284" s="1126"/>
      <c r="U284" s="1126"/>
      <c r="V284" s="1126"/>
      <c r="W284" s="1126"/>
      <c r="X284" s="1126"/>
      <c r="Y284" s="1126"/>
      <c r="Z284" s="1126"/>
      <c r="AA284" s="1126"/>
      <c r="AB284" s="1126"/>
    </row>
    <row r="285" ht="15.75" customHeight="1">
      <c r="B285" s="1126"/>
      <c r="C285" s="1126"/>
      <c r="D285" s="1126"/>
      <c r="E285" s="1126"/>
      <c r="F285" s="1126"/>
      <c r="G285" s="1126"/>
      <c r="H285" s="1126"/>
      <c r="I285" s="1126"/>
      <c r="J285" s="1126"/>
      <c r="K285" s="1126"/>
      <c r="L285" s="1126"/>
      <c r="M285" s="1126"/>
      <c r="N285" s="1126"/>
      <c r="O285" s="1126"/>
      <c r="P285" s="1126"/>
      <c r="Q285" s="1126"/>
      <c r="R285" s="1126"/>
      <c r="S285" s="1126"/>
      <c r="T285" s="1126"/>
      <c r="U285" s="1126"/>
      <c r="V285" s="1126"/>
      <c r="W285" s="1126"/>
      <c r="X285" s="1126"/>
      <c r="Y285" s="1126"/>
      <c r="Z285" s="1126"/>
      <c r="AA285" s="1126"/>
      <c r="AB285" s="1126"/>
    </row>
    <row r="286" ht="15.75" customHeight="1">
      <c r="B286" s="1126"/>
      <c r="C286" s="1126"/>
      <c r="D286" s="1126"/>
      <c r="E286" s="1126"/>
      <c r="F286" s="1126"/>
      <c r="G286" s="1126"/>
      <c r="H286" s="1126"/>
      <c r="I286" s="1126"/>
      <c r="J286" s="1126"/>
      <c r="K286" s="1126"/>
      <c r="L286" s="1126"/>
      <c r="M286" s="1126"/>
      <c r="N286" s="1126"/>
      <c r="O286" s="1126"/>
      <c r="P286" s="1126"/>
      <c r="Q286" s="1126"/>
      <c r="R286" s="1126"/>
      <c r="S286" s="1126"/>
      <c r="T286" s="1126"/>
      <c r="U286" s="1126"/>
      <c r="V286" s="1126"/>
      <c r="W286" s="1126"/>
      <c r="X286" s="1126"/>
      <c r="Y286" s="1126"/>
      <c r="Z286" s="1126"/>
      <c r="AA286" s="1126"/>
      <c r="AB286" s="1126"/>
    </row>
    <row r="287" ht="15.75" customHeight="1">
      <c r="B287" s="1126"/>
      <c r="C287" s="1126"/>
      <c r="D287" s="1126"/>
      <c r="E287" s="1126"/>
      <c r="F287" s="1126"/>
      <c r="G287" s="1126"/>
      <c r="H287" s="1126"/>
      <c r="I287" s="1126"/>
      <c r="J287" s="1126"/>
      <c r="K287" s="1126"/>
      <c r="L287" s="1126"/>
      <c r="M287" s="1126"/>
      <c r="N287" s="1126"/>
      <c r="O287" s="1126"/>
      <c r="P287" s="1126"/>
      <c r="Q287" s="1126"/>
      <c r="R287" s="1126"/>
      <c r="S287" s="1126"/>
      <c r="T287" s="1126"/>
      <c r="U287" s="1126"/>
      <c r="V287" s="1126"/>
      <c r="W287" s="1126"/>
      <c r="X287" s="1126"/>
      <c r="Y287" s="1126"/>
      <c r="Z287" s="1126"/>
      <c r="AA287" s="1126"/>
      <c r="AB287" s="1126"/>
    </row>
    <row r="288" ht="15.75" customHeight="1">
      <c r="B288" s="1126"/>
      <c r="C288" s="1126"/>
      <c r="D288" s="1126"/>
      <c r="E288" s="1126"/>
      <c r="F288" s="1126"/>
      <c r="G288" s="1126"/>
      <c r="H288" s="1126"/>
      <c r="I288" s="1126"/>
      <c r="J288" s="1126"/>
      <c r="K288" s="1126"/>
      <c r="L288" s="1126"/>
      <c r="M288" s="1126"/>
      <c r="N288" s="1126"/>
      <c r="O288" s="1126"/>
      <c r="P288" s="1126"/>
      <c r="Q288" s="1126"/>
      <c r="R288" s="1126"/>
      <c r="S288" s="1126"/>
      <c r="T288" s="1126"/>
      <c r="U288" s="1126"/>
      <c r="V288" s="1126"/>
      <c r="W288" s="1126"/>
      <c r="X288" s="1126"/>
      <c r="Y288" s="1126"/>
      <c r="Z288" s="1126"/>
      <c r="AA288" s="1126"/>
      <c r="AB288" s="1126"/>
    </row>
    <row r="289" ht="15.75" customHeight="1">
      <c r="B289" s="1126"/>
      <c r="C289" s="1126"/>
      <c r="D289" s="1126"/>
      <c r="E289" s="1126"/>
      <c r="F289" s="1126"/>
      <c r="G289" s="1126"/>
      <c r="H289" s="1126"/>
      <c r="I289" s="1126"/>
      <c r="J289" s="1126"/>
      <c r="K289" s="1126"/>
      <c r="L289" s="1126"/>
      <c r="M289" s="1126"/>
      <c r="N289" s="1126"/>
      <c r="O289" s="1126"/>
      <c r="P289" s="1126"/>
      <c r="Q289" s="1126"/>
      <c r="R289" s="1126"/>
      <c r="S289" s="1126"/>
      <c r="T289" s="1126"/>
      <c r="U289" s="1126"/>
      <c r="V289" s="1126"/>
      <c r="W289" s="1126"/>
      <c r="X289" s="1126"/>
      <c r="Y289" s="1126"/>
      <c r="Z289" s="1126"/>
      <c r="AA289" s="1126"/>
      <c r="AB289" s="1126"/>
    </row>
    <row r="290" ht="15.75" customHeight="1">
      <c r="B290" s="1126"/>
      <c r="C290" s="1126"/>
      <c r="D290" s="1126"/>
      <c r="E290" s="1126"/>
      <c r="F290" s="1126"/>
      <c r="G290" s="1126"/>
      <c r="H290" s="1126"/>
      <c r="I290" s="1126"/>
      <c r="J290" s="1126"/>
      <c r="K290" s="1126"/>
      <c r="L290" s="1126"/>
      <c r="M290" s="1126"/>
      <c r="N290" s="1126"/>
      <c r="O290" s="1126"/>
      <c r="P290" s="1126"/>
      <c r="Q290" s="1126"/>
      <c r="R290" s="1126"/>
      <c r="S290" s="1126"/>
      <c r="T290" s="1126"/>
      <c r="U290" s="1126"/>
      <c r="V290" s="1126"/>
      <c r="W290" s="1126"/>
      <c r="X290" s="1126"/>
      <c r="Y290" s="1126"/>
      <c r="Z290" s="1126"/>
      <c r="AA290" s="1126"/>
      <c r="AB290" s="1126"/>
    </row>
    <row r="291" ht="15.75" customHeight="1">
      <c r="B291" s="1126"/>
      <c r="C291" s="1126"/>
      <c r="D291" s="1126"/>
      <c r="E291" s="1126"/>
      <c r="F291" s="1126"/>
      <c r="G291" s="1126"/>
      <c r="H291" s="1126"/>
      <c r="I291" s="1126"/>
      <c r="J291" s="1126"/>
      <c r="K291" s="1126"/>
      <c r="L291" s="1126"/>
      <c r="M291" s="1126"/>
      <c r="N291" s="1126"/>
      <c r="O291" s="1126"/>
      <c r="P291" s="1126"/>
      <c r="Q291" s="1126"/>
      <c r="R291" s="1126"/>
      <c r="S291" s="1126"/>
      <c r="T291" s="1126"/>
      <c r="U291" s="1126"/>
      <c r="V291" s="1126"/>
      <c r="W291" s="1126"/>
      <c r="X291" s="1126"/>
      <c r="Y291" s="1126"/>
      <c r="Z291" s="1126"/>
      <c r="AA291" s="1126"/>
      <c r="AB291" s="1126"/>
    </row>
    <row r="292" ht="15.75" customHeight="1">
      <c r="B292" s="1126"/>
      <c r="C292" s="1126"/>
      <c r="D292" s="1126"/>
      <c r="E292" s="1126"/>
      <c r="F292" s="1126"/>
      <c r="G292" s="1126"/>
      <c r="H292" s="1126"/>
      <c r="I292" s="1126"/>
      <c r="J292" s="1126"/>
      <c r="K292" s="1126"/>
      <c r="L292" s="1126"/>
      <c r="M292" s="1126"/>
      <c r="N292" s="1126"/>
      <c r="O292" s="1126"/>
      <c r="P292" s="1126"/>
      <c r="Q292" s="1126"/>
      <c r="R292" s="1126"/>
      <c r="S292" s="1126"/>
      <c r="T292" s="1126"/>
      <c r="U292" s="1126"/>
      <c r="V292" s="1126"/>
      <c r="W292" s="1126"/>
      <c r="X292" s="1126"/>
      <c r="Y292" s="1126"/>
      <c r="Z292" s="1126"/>
      <c r="AA292" s="1126"/>
      <c r="AB292" s="1126"/>
    </row>
    <row r="293" ht="15.75" customHeight="1">
      <c r="B293" s="1126"/>
      <c r="C293" s="1126"/>
      <c r="D293" s="1126"/>
      <c r="E293" s="1126"/>
      <c r="F293" s="1126"/>
      <c r="G293" s="1126"/>
      <c r="H293" s="1126"/>
      <c r="I293" s="1126"/>
      <c r="J293" s="1126"/>
      <c r="K293" s="1126"/>
      <c r="L293" s="1126"/>
      <c r="M293" s="1126"/>
      <c r="N293" s="1126"/>
      <c r="O293" s="1126"/>
      <c r="P293" s="1126"/>
      <c r="Q293" s="1126"/>
      <c r="R293" s="1126"/>
      <c r="S293" s="1126"/>
      <c r="T293" s="1126"/>
      <c r="U293" s="1126"/>
      <c r="V293" s="1126"/>
      <c r="W293" s="1126"/>
      <c r="X293" s="1126"/>
      <c r="Y293" s="1126"/>
      <c r="Z293" s="1126"/>
      <c r="AA293" s="1126"/>
      <c r="AB293" s="1126"/>
    </row>
    <row r="294" ht="15.75" customHeight="1">
      <c r="B294" s="1126"/>
      <c r="C294" s="1126"/>
      <c r="D294" s="1126"/>
      <c r="E294" s="1126"/>
      <c r="F294" s="1126"/>
      <c r="G294" s="1126"/>
      <c r="H294" s="1126"/>
      <c r="I294" s="1126"/>
      <c r="J294" s="1126"/>
      <c r="K294" s="1126"/>
      <c r="L294" s="1126"/>
      <c r="M294" s="1126"/>
      <c r="N294" s="1126"/>
      <c r="O294" s="1126"/>
      <c r="P294" s="1126"/>
      <c r="Q294" s="1126"/>
      <c r="R294" s="1126"/>
      <c r="S294" s="1126"/>
      <c r="T294" s="1126"/>
      <c r="U294" s="1126"/>
      <c r="V294" s="1126"/>
      <c r="W294" s="1126"/>
      <c r="X294" s="1126"/>
      <c r="Y294" s="1126"/>
      <c r="Z294" s="1126"/>
      <c r="AA294" s="1126"/>
      <c r="AB294" s="1126"/>
    </row>
    <row r="295" ht="15.75" customHeight="1">
      <c r="B295" s="1126"/>
      <c r="C295" s="1126"/>
      <c r="D295" s="1126"/>
      <c r="E295" s="1126"/>
      <c r="F295" s="1126"/>
      <c r="G295" s="1126"/>
      <c r="H295" s="1126"/>
      <c r="I295" s="1126"/>
      <c r="J295" s="1126"/>
      <c r="K295" s="1126"/>
      <c r="L295" s="1126"/>
      <c r="M295" s="1126"/>
      <c r="N295" s="1126"/>
      <c r="O295" s="1126"/>
      <c r="P295" s="1126"/>
      <c r="Q295" s="1126"/>
      <c r="R295" s="1126"/>
      <c r="S295" s="1126"/>
      <c r="T295" s="1126"/>
      <c r="U295" s="1126"/>
      <c r="V295" s="1126"/>
      <c r="W295" s="1126"/>
      <c r="X295" s="1126"/>
      <c r="Y295" s="1126"/>
      <c r="Z295" s="1126"/>
      <c r="AA295" s="1126"/>
      <c r="AB295" s="1126"/>
    </row>
    <row r="296" ht="15.75" customHeight="1">
      <c r="B296" s="1126"/>
      <c r="C296" s="1126"/>
      <c r="D296" s="1126"/>
      <c r="E296" s="1126"/>
      <c r="F296" s="1126"/>
      <c r="G296" s="1126"/>
      <c r="H296" s="1126"/>
      <c r="I296" s="1126"/>
      <c r="J296" s="1126"/>
      <c r="K296" s="1126"/>
      <c r="L296" s="1126"/>
      <c r="M296" s="1126"/>
      <c r="N296" s="1126"/>
      <c r="O296" s="1126"/>
      <c r="P296" s="1126"/>
      <c r="Q296" s="1126"/>
      <c r="R296" s="1126"/>
      <c r="S296" s="1126"/>
      <c r="T296" s="1126"/>
      <c r="U296" s="1126"/>
      <c r="V296" s="1126"/>
      <c r="W296" s="1126"/>
      <c r="X296" s="1126"/>
      <c r="Y296" s="1126"/>
      <c r="Z296" s="1126"/>
      <c r="AA296" s="1126"/>
      <c r="AB296" s="1126"/>
    </row>
    <row r="297" ht="15.75" customHeight="1">
      <c r="B297" s="1126"/>
      <c r="C297" s="1126"/>
      <c r="D297" s="1126"/>
      <c r="E297" s="1126"/>
      <c r="F297" s="1126"/>
      <c r="G297" s="1126"/>
      <c r="H297" s="1126"/>
      <c r="I297" s="1126"/>
      <c r="J297" s="1126"/>
      <c r="K297" s="1126"/>
      <c r="L297" s="1126"/>
      <c r="M297" s="1126"/>
      <c r="N297" s="1126"/>
      <c r="O297" s="1126"/>
      <c r="P297" s="1126"/>
      <c r="Q297" s="1126"/>
      <c r="R297" s="1126"/>
      <c r="S297" s="1126"/>
      <c r="T297" s="1126"/>
      <c r="U297" s="1126"/>
      <c r="V297" s="1126"/>
      <c r="W297" s="1126"/>
      <c r="X297" s="1126"/>
      <c r="Y297" s="1126"/>
      <c r="Z297" s="1126"/>
      <c r="AA297" s="1126"/>
      <c r="AB297" s="1126"/>
    </row>
    <row r="298" ht="15.75" customHeight="1">
      <c r="B298" s="1126"/>
      <c r="C298" s="1126"/>
      <c r="D298" s="1126"/>
      <c r="E298" s="1126"/>
      <c r="F298" s="1126"/>
      <c r="G298" s="1126"/>
      <c r="H298" s="1126"/>
      <c r="I298" s="1126"/>
      <c r="J298" s="1126"/>
      <c r="K298" s="1126"/>
      <c r="L298" s="1126"/>
      <c r="M298" s="1126"/>
      <c r="N298" s="1126"/>
      <c r="O298" s="1126"/>
      <c r="P298" s="1126"/>
      <c r="Q298" s="1126"/>
      <c r="R298" s="1126"/>
      <c r="S298" s="1126"/>
      <c r="T298" s="1126"/>
      <c r="U298" s="1126"/>
      <c r="V298" s="1126"/>
      <c r="W298" s="1126"/>
      <c r="X298" s="1126"/>
      <c r="Y298" s="1126"/>
      <c r="Z298" s="1126"/>
      <c r="AA298" s="1126"/>
      <c r="AB298" s="1126"/>
    </row>
    <row r="299" ht="15.75" customHeight="1">
      <c r="B299" s="1126"/>
      <c r="C299" s="1126"/>
      <c r="D299" s="1126"/>
      <c r="E299" s="1126"/>
      <c r="F299" s="1126"/>
      <c r="G299" s="1126"/>
      <c r="H299" s="1126"/>
      <c r="I299" s="1126"/>
      <c r="J299" s="1126"/>
      <c r="K299" s="1126"/>
      <c r="L299" s="1126"/>
      <c r="M299" s="1126"/>
      <c r="N299" s="1126"/>
      <c r="O299" s="1126"/>
      <c r="P299" s="1126"/>
      <c r="Q299" s="1126"/>
      <c r="R299" s="1126"/>
      <c r="S299" s="1126"/>
      <c r="T299" s="1126"/>
      <c r="U299" s="1126"/>
      <c r="V299" s="1126"/>
      <c r="W299" s="1126"/>
      <c r="X299" s="1126"/>
      <c r="Y299" s="1126"/>
      <c r="Z299" s="1126"/>
      <c r="AA299" s="1126"/>
      <c r="AB299" s="1126"/>
    </row>
    <row r="300" ht="15.75" customHeight="1">
      <c r="B300" s="1126"/>
      <c r="C300" s="1126"/>
      <c r="D300" s="1126"/>
      <c r="E300" s="1126"/>
      <c r="F300" s="1126"/>
      <c r="G300" s="1126"/>
      <c r="H300" s="1126"/>
      <c r="I300" s="1126"/>
      <c r="J300" s="1126"/>
      <c r="K300" s="1126"/>
      <c r="L300" s="1126"/>
      <c r="M300" s="1126"/>
      <c r="N300" s="1126"/>
      <c r="O300" s="1126"/>
      <c r="P300" s="1126"/>
      <c r="Q300" s="1126"/>
      <c r="R300" s="1126"/>
      <c r="S300" s="1126"/>
      <c r="T300" s="1126"/>
      <c r="U300" s="1126"/>
      <c r="V300" s="1126"/>
      <c r="W300" s="1126"/>
      <c r="X300" s="1126"/>
      <c r="Y300" s="1126"/>
      <c r="Z300" s="1126"/>
      <c r="AA300" s="1126"/>
      <c r="AB300" s="1126"/>
    </row>
    <row r="301" ht="15.75" customHeight="1">
      <c r="B301" s="1126"/>
      <c r="C301" s="1126"/>
      <c r="D301" s="1126"/>
      <c r="E301" s="1126"/>
      <c r="F301" s="1126"/>
      <c r="G301" s="1126"/>
      <c r="H301" s="1126"/>
      <c r="I301" s="1126"/>
      <c r="J301" s="1126"/>
      <c r="K301" s="1126"/>
      <c r="L301" s="1126"/>
      <c r="M301" s="1126"/>
      <c r="N301" s="1126"/>
      <c r="O301" s="1126"/>
      <c r="P301" s="1126"/>
      <c r="Q301" s="1126"/>
      <c r="R301" s="1126"/>
      <c r="S301" s="1126"/>
      <c r="T301" s="1126"/>
      <c r="U301" s="1126"/>
      <c r="V301" s="1126"/>
      <c r="W301" s="1126"/>
      <c r="X301" s="1126"/>
      <c r="Y301" s="1126"/>
      <c r="Z301" s="1126"/>
      <c r="AA301" s="1126"/>
      <c r="AB301" s="1126"/>
    </row>
    <row r="302" ht="15.75" customHeight="1">
      <c r="B302" s="1126"/>
      <c r="C302" s="1126"/>
      <c r="D302" s="1126"/>
      <c r="E302" s="1126"/>
      <c r="F302" s="1126"/>
      <c r="G302" s="1126"/>
      <c r="H302" s="1126"/>
      <c r="I302" s="1126"/>
      <c r="J302" s="1126"/>
      <c r="K302" s="1126"/>
      <c r="L302" s="1126"/>
      <c r="M302" s="1126"/>
      <c r="N302" s="1126"/>
      <c r="O302" s="1126"/>
      <c r="P302" s="1126"/>
      <c r="Q302" s="1126"/>
      <c r="R302" s="1126"/>
      <c r="S302" s="1126"/>
      <c r="T302" s="1126"/>
      <c r="U302" s="1126"/>
      <c r="V302" s="1126"/>
      <c r="W302" s="1126"/>
      <c r="X302" s="1126"/>
      <c r="Y302" s="1126"/>
      <c r="Z302" s="1126"/>
      <c r="AA302" s="1126"/>
      <c r="AB302" s="1126"/>
    </row>
    <row r="303" ht="15.75" customHeight="1">
      <c r="B303" s="1126"/>
      <c r="C303" s="1126"/>
      <c r="D303" s="1126"/>
      <c r="E303" s="1126"/>
      <c r="F303" s="1126"/>
      <c r="G303" s="1126"/>
      <c r="H303" s="1126"/>
      <c r="I303" s="1126"/>
      <c r="J303" s="1126"/>
      <c r="K303" s="1126"/>
      <c r="L303" s="1126"/>
      <c r="M303" s="1126"/>
      <c r="N303" s="1126"/>
      <c r="O303" s="1126"/>
      <c r="P303" s="1126"/>
      <c r="Q303" s="1126"/>
      <c r="R303" s="1126"/>
      <c r="S303" s="1126"/>
      <c r="T303" s="1126"/>
      <c r="U303" s="1126"/>
      <c r="V303" s="1126"/>
      <c r="W303" s="1126"/>
      <c r="X303" s="1126"/>
      <c r="Y303" s="1126"/>
      <c r="Z303" s="1126"/>
      <c r="AA303" s="1126"/>
      <c r="AB303" s="1126"/>
    </row>
    <row r="304" ht="15.75" customHeight="1">
      <c r="B304" s="1126"/>
      <c r="C304" s="1126"/>
      <c r="D304" s="1126"/>
      <c r="E304" s="1126"/>
      <c r="F304" s="1126"/>
      <c r="G304" s="1126"/>
      <c r="H304" s="1126"/>
      <c r="I304" s="1126"/>
      <c r="J304" s="1126"/>
      <c r="K304" s="1126"/>
      <c r="L304" s="1126"/>
      <c r="M304" s="1126"/>
      <c r="N304" s="1126"/>
      <c r="O304" s="1126"/>
      <c r="P304" s="1126"/>
      <c r="Q304" s="1126"/>
      <c r="R304" s="1126"/>
      <c r="S304" s="1126"/>
      <c r="T304" s="1126"/>
      <c r="U304" s="1126"/>
      <c r="V304" s="1126"/>
      <c r="W304" s="1126"/>
      <c r="X304" s="1126"/>
      <c r="Y304" s="1126"/>
      <c r="Z304" s="1126"/>
      <c r="AA304" s="1126"/>
      <c r="AB304" s="1126"/>
    </row>
    <row r="305" ht="15.75" customHeight="1">
      <c r="B305" s="1126"/>
      <c r="C305" s="1126"/>
      <c r="D305" s="1126"/>
      <c r="E305" s="1126"/>
      <c r="F305" s="1126"/>
      <c r="G305" s="1126"/>
      <c r="H305" s="1126"/>
      <c r="I305" s="1126"/>
      <c r="J305" s="1126"/>
      <c r="K305" s="1126"/>
      <c r="L305" s="1126"/>
      <c r="M305" s="1126"/>
      <c r="N305" s="1126"/>
      <c r="O305" s="1126"/>
      <c r="P305" s="1126"/>
      <c r="Q305" s="1126"/>
      <c r="R305" s="1126"/>
      <c r="S305" s="1126"/>
      <c r="T305" s="1126"/>
      <c r="U305" s="1126"/>
      <c r="V305" s="1126"/>
      <c r="W305" s="1126"/>
      <c r="X305" s="1126"/>
      <c r="Y305" s="1126"/>
      <c r="Z305" s="1126"/>
      <c r="AA305" s="1126"/>
      <c r="AB305" s="1126"/>
    </row>
    <row r="306" ht="15.75" customHeight="1">
      <c r="B306" s="1126"/>
      <c r="C306" s="1126"/>
      <c r="D306" s="1126"/>
      <c r="E306" s="1126"/>
      <c r="F306" s="1126"/>
      <c r="G306" s="1126"/>
      <c r="H306" s="1126"/>
      <c r="I306" s="1126"/>
      <c r="J306" s="1126"/>
      <c r="K306" s="1126"/>
      <c r="L306" s="1126"/>
      <c r="M306" s="1126"/>
      <c r="N306" s="1126"/>
      <c r="O306" s="1126"/>
      <c r="P306" s="1126"/>
      <c r="Q306" s="1126"/>
      <c r="R306" s="1126"/>
      <c r="S306" s="1126"/>
      <c r="T306" s="1126"/>
      <c r="U306" s="1126"/>
      <c r="V306" s="1126"/>
      <c r="W306" s="1126"/>
      <c r="X306" s="1126"/>
      <c r="Y306" s="1126"/>
      <c r="Z306" s="1126"/>
      <c r="AA306" s="1126"/>
      <c r="AB306" s="1126"/>
    </row>
    <row r="307" ht="15.75" customHeight="1">
      <c r="B307" s="1126"/>
      <c r="C307" s="1126"/>
      <c r="D307" s="1126"/>
      <c r="E307" s="1126"/>
      <c r="F307" s="1126"/>
      <c r="G307" s="1126"/>
      <c r="H307" s="1126"/>
      <c r="I307" s="1126"/>
      <c r="J307" s="1126"/>
      <c r="K307" s="1126"/>
      <c r="L307" s="1126"/>
      <c r="M307" s="1126"/>
      <c r="N307" s="1126"/>
      <c r="O307" s="1126"/>
      <c r="P307" s="1126"/>
      <c r="Q307" s="1126"/>
      <c r="R307" s="1126"/>
      <c r="S307" s="1126"/>
      <c r="T307" s="1126"/>
      <c r="U307" s="1126"/>
      <c r="V307" s="1126"/>
      <c r="W307" s="1126"/>
      <c r="X307" s="1126"/>
      <c r="Y307" s="1126"/>
      <c r="Z307" s="1126"/>
      <c r="AA307" s="1126"/>
      <c r="AB307" s="1126"/>
    </row>
    <row r="308" ht="15.75" customHeight="1">
      <c r="B308" s="1126"/>
      <c r="C308" s="1126"/>
      <c r="D308" s="1126"/>
      <c r="E308" s="1126"/>
      <c r="F308" s="1126"/>
      <c r="G308" s="1126"/>
      <c r="H308" s="1126"/>
      <c r="I308" s="1126"/>
      <c r="J308" s="1126"/>
      <c r="K308" s="1126"/>
      <c r="L308" s="1126"/>
      <c r="M308" s="1126"/>
      <c r="N308" s="1126"/>
      <c r="O308" s="1126"/>
      <c r="P308" s="1126"/>
      <c r="Q308" s="1126"/>
      <c r="R308" s="1126"/>
      <c r="S308" s="1126"/>
      <c r="T308" s="1126"/>
      <c r="U308" s="1126"/>
      <c r="V308" s="1126"/>
      <c r="W308" s="1126"/>
      <c r="X308" s="1126"/>
      <c r="Y308" s="1126"/>
      <c r="Z308" s="1126"/>
      <c r="AA308" s="1126"/>
      <c r="AB308" s="1126"/>
    </row>
    <row r="309" ht="15.75" customHeight="1">
      <c r="B309" s="1126"/>
      <c r="C309" s="1126"/>
      <c r="D309" s="1126"/>
      <c r="E309" s="1126"/>
      <c r="F309" s="1126"/>
      <c r="G309" s="1126"/>
      <c r="H309" s="1126"/>
      <c r="I309" s="1126"/>
      <c r="J309" s="1126"/>
      <c r="K309" s="1126"/>
      <c r="L309" s="1126"/>
      <c r="M309" s="1126"/>
      <c r="N309" s="1126"/>
      <c r="O309" s="1126"/>
      <c r="P309" s="1126"/>
      <c r="Q309" s="1126"/>
      <c r="R309" s="1126"/>
      <c r="S309" s="1126"/>
      <c r="T309" s="1126"/>
      <c r="U309" s="1126"/>
      <c r="V309" s="1126"/>
      <c r="W309" s="1126"/>
      <c r="X309" s="1126"/>
      <c r="Y309" s="1126"/>
      <c r="Z309" s="1126"/>
      <c r="AA309" s="1126"/>
      <c r="AB309" s="1126"/>
    </row>
    <row r="310" ht="15.75" customHeight="1">
      <c r="B310" s="1126"/>
      <c r="C310" s="1126"/>
      <c r="D310" s="1126"/>
      <c r="E310" s="1126"/>
      <c r="F310" s="1126"/>
      <c r="G310" s="1126"/>
      <c r="H310" s="1126"/>
      <c r="I310" s="1126"/>
      <c r="J310" s="1126"/>
      <c r="K310" s="1126"/>
      <c r="L310" s="1126"/>
      <c r="M310" s="1126"/>
      <c r="N310" s="1126"/>
      <c r="O310" s="1126"/>
      <c r="P310" s="1126"/>
      <c r="Q310" s="1126"/>
      <c r="R310" s="1126"/>
      <c r="S310" s="1126"/>
      <c r="T310" s="1126"/>
      <c r="U310" s="1126"/>
      <c r="V310" s="1126"/>
      <c r="W310" s="1126"/>
      <c r="X310" s="1126"/>
      <c r="Y310" s="1126"/>
      <c r="Z310" s="1126"/>
      <c r="AA310" s="1126"/>
      <c r="AB310" s="1126"/>
    </row>
    <row r="311" ht="15.75" customHeight="1">
      <c r="B311" s="1126"/>
      <c r="C311" s="1126"/>
      <c r="D311" s="1126"/>
      <c r="E311" s="1126"/>
      <c r="F311" s="1126"/>
      <c r="G311" s="1126"/>
      <c r="H311" s="1126"/>
      <c r="I311" s="1126"/>
      <c r="J311" s="1126"/>
      <c r="K311" s="1126"/>
      <c r="L311" s="1126"/>
      <c r="M311" s="1126"/>
      <c r="N311" s="1126"/>
      <c r="O311" s="1126"/>
      <c r="P311" s="1126"/>
      <c r="Q311" s="1126"/>
      <c r="R311" s="1126"/>
      <c r="S311" s="1126"/>
      <c r="T311" s="1126"/>
      <c r="U311" s="1126"/>
      <c r="V311" s="1126"/>
      <c r="W311" s="1126"/>
      <c r="X311" s="1126"/>
      <c r="Y311" s="1126"/>
      <c r="Z311" s="1126"/>
      <c r="AA311" s="1126"/>
      <c r="AB311" s="1126"/>
    </row>
    <row r="312" ht="15.75" customHeight="1">
      <c r="B312" s="1126"/>
      <c r="C312" s="1126"/>
      <c r="D312" s="1126"/>
      <c r="E312" s="1126"/>
      <c r="F312" s="1126"/>
      <c r="G312" s="1126"/>
      <c r="H312" s="1126"/>
      <c r="I312" s="1126"/>
      <c r="J312" s="1126"/>
      <c r="K312" s="1126"/>
      <c r="L312" s="1126"/>
      <c r="M312" s="1126"/>
      <c r="N312" s="1126"/>
      <c r="O312" s="1126"/>
      <c r="P312" s="1126"/>
      <c r="Q312" s="1126"/>
      <c r="R312" s="1126"/>
      <c r="S312" s="1126"/>
      <c r="T312" s="1126"/>
      <c r="U312" s="1126"/>
      <c r="V312" s="1126"/>
      <c r="W312" s="1126"/>
      <c r="X312" s="1126"/>
      <c r="Y312" s="1126"/>
      <c r="Z312" s="1126"/>
      <c r="AA312" s="1126"/>
      <c r="AB312" s="1126"/>
    </row>
    <row r="313" ht="15.75" customHeight="1">
      <c r="B313" s="1126"/>
      <c r="C313" s="1126"/>
      <c r="D313" s="1126"/>
      <c r="E313" s="1126"/>
      <c r="F313" s="1126"/>
      <c r="G313" s="1126"/>
      <c r="H313" s="1126"/>
      <c r="I313" s="1126"/>
      <c r="J313" s="1126"/>
      <c r="K313" s="1126"/>
      <c r="L313" s="1126"/>
      <c r="M313" s="1126"/>
      <c r="N313" s="1126"/>
      <c r="O313" s="1126"/>
      <c r="P313" s="1126"/>
      <c r="Q313" s="1126"/>
      <c r="R313" s="1126"/>
      <c r="S313" s="1126"/>
      <c r="T313" s="1126"/>
      <c r="U313" s="1126"/>
      <c r="V313" s="1126"/>
      <c r="W313" s="1126"/>
      <c r="X313" s="1126"/>
      <c r="Y313" s="1126"/>
      <c r="Z313" s="1126"/>
      <c r="AA313" s="1126"/>
      <c r="AB313" s="1126"/>
    </row>
    <row r="314" ht="15.75" customHeight="1">
      <c r="B314" s="1126"/>
      <c r="C314" s="1126"/>
      <c r="D314" s="1126"/>
      <c r="E314" s="1126"/>
      <c r="F314" s="1126"/>
      <c r="G314" s="1126"/>
      <c r="H314" s="1126"/>
      <c r="I314" s="1126"/>
      <c r="J314" s="1126"/>
      <c r="K314" s="1126"/>
      <c r="L314" s="1126"/>
      <c r="M314" s="1126"/>
      <c r="N314" s="1126"/>
      <c r="O314" s="1126"/>
      <c r="P314" s="1126"/>
      <c r="Q314" s="1126"/>
      <c r="R314" s="1126"/>
      <c r="S314" s="1126"/>
      <c r="T314" s="1126"/>
      <c r="U314" s="1126"/>
      <c r="V314" s="1126"/>
      <c r="W314" s="1126"/>
      <c r="X314" s="1126"/>
      <c r="Y314" s="1126"/>
      <c r="Z314" s="1126"/>
      <c r="AA314" s="1126"/>
      <c r="AB314" s="1126"/>
    </row>
    <row r="315" ht="15.75" customHeight="1">
      <c r="B315" s="1126"/>
      <c r="C315" s="1126"/>
      <c r="D315" s="1126"/>
      <c r="E315" s="1126"/>
      <c r="F315" s="1126"/>
      <c r="G315" s="1126"/>
      <c r="H315" s="1126"/>
      <c r="I315" s="1126"/>
      <c r="J315" s="1126"/>
      <c r="K315" s="1126"/>
      <c r="L315" s="1126"/>
      <c r="M315" s="1126"/>
      <c r="N315" s="1126"/>
      <c r="O315" s="1126"/>
      <c r="P315" s="1126"/>
      <c r="Q315" s="1126"/>
      <c r="R315" s="1126"/>
      <c r="S315" s="1126"/>
      <c r="T315" s="1126"/>
      <c r="U315" s="1126"/>
      <c r="V315" s="1126"/>
      <c r="W315" s="1126"/>
      <c r="X315" s="1126"/>
      <c r="Y315" s="1126"/>
      <c r="Z315" s="1126"/>
      <c r="AA315" s="1126"/>
      <c r="AB315" s="1126"/>
    </row>
    <row r="316" ht="15.75" customHeight="1">
      <c r="B316" s="1126"/>
      <c r="C316" s="1126"/>
      <c r="D316" s="1126"/>
      <c r="E316" s="1126"/>
      <c r="F316" s="1126"/>
      <c r="G316" s="1126"/>
      <c r="H316" s="1126"/>
      <c r="I316" s="1126"/>
      <c r="J316" s="1126"/>
      <c r="K316" s="1126"/>
      <c r="L316" s="1126"/>
      <c r="M316" s="1126"/>
      <c r="N316" s="1126"/>
      <c r="O316" s="1126"/>
      <c r="P316" s="1126"/>
      <c r="Q316" s="1126"/>
      <c r="R316" s="1126"/>
      <c r="S316" s="1126"/>
      <c r="T316" s="1126"/>
      <c r="U316" s="1126"/>
      <c r="V316" s="1126"/>
      <c r="W316" s="1126"/>
      <c r="X316" s="1126"/>
      <c r="Y316" s="1126"/>
      <c r="Z316" s="1126"/>
      <c r="AA316" s="1126"/>
      <c r="AB316" s="1126"/>
    </row>
    <row r="317" ht="15.75" customHeight="1">
      <c r="B317" s="1126"/>
      <c r="C317" s="1126"/>
      <c r="D317" s="1126"/>
      <c r="E317" s="1126"/>
      <c r="F317" s="1126"/>
      <c r="G317" s="1126"/>
      <c r="H317" s="1126"/>
      <c r="I317" s="1126"/>
      <c r="J317" s="1126"/>
      <c r="K317" s="1126"/>
      <c r="L317" s="1126"/>
      <c r="M317" s="1126"/>
      <c r="N317" s="1126"/>
      <c r="O317" s="1126"/>
      <c r="P317" s="1126"/>
      <c r="Q317" s="1126"/>
      <c r="R317" s="1126"/>
      <c r="S317" s="1126"/>
      <c r="T317" s="1126"/>
      <c r="U317" s="1126"/>
      <c r="V317" s="1126"/>
      <c r="W317" s="1126"/>
      <c r="X317" s="1126"/>
      <c r="Y317" s="1126"/>
      <c r="Z317" s="1126"/>
      <c r="AA317" s="1126"/>
      <c r="AB317" s="1126"/>
    </row>
    <row r="318" ht="15.75" customHeight="1">
      <c r="B318" s="1126"/>
      <c r="C318" s="1126"/>
      <c r="D318" s="1126"/>
      <c r="E318" s="1126"/>
      <c r="F318" s="1126"/>
      <c r="G318" s="1126"/>
      <c r="H318" s="1126"/>
      <c r="I318" s="1126"/>
      <c r="J318" s="1126"/>
      <c r="K318" s="1126"/>
      <c r="L318" s="1126"/>
      <c r="M318" s="1126"/>
      <c r="N318" s="1126"/>
      <c r="O318" s="1126"/>
      <c r="P318" s="1126"/>
      <c r="Q318" s="1126"/>
      <c r="R318" s="1126"/>
      <c r="S318" s="1126"/>
      <c r="T318" s="1126"/>
      <c r="U318" s="1126"/>
      <c r="V318" s="1126"/>
      <c r="W318" s="1126"/>
      <c r="X318" s="1126"/>
      <c r="Y318" s="1126"/>
      <c r="Z318" s="1126"/>
      <c r="AA318" s="1126"/>
      <c r="AB318" s="1126"/>
    </row>
    <row r="319" ht="15.75" customHeight="1">
      <c r="B319" s="1126"/>
      <c r="C319" s="1126"/>
      <c r="D319" s="1126"/>
      <c r="E319" s="1126"/>
      <c r="F319" s="1126"/>
      <c r="G319" s="1126"/>
      <c r="H319" s="1126"/>
      <c r="I319" s="1126"/>
      <c r="J319" s="1126"/>
      <c r="K319" s="1126"/>
      <c r="L319" s="1126"/>
      <c r="M319" s="1126"/>
      <c r="N319" s="1126"/>
      <c r="O319" s="1126"/>
      <c r="P319" s="1126"/>
      <c r="Q319" s="1126"/>
      <c r="R319" s="1126"/>
      <c r="S319" s="1126"/>
      <c r="T319" s="1126"/>
      <c r="U319" s="1126"/>
      <c r="V319" s="1126"/>
      <c r="W319" s="1126"/>
      <c r="X319" s="1126"/>
      <c r="Y319" s="1126"/>
      <c r="Z319" s="1126"/>
      <c r="AA319" s="1126"/>
      <c r="AB319" s="1126"/>
    </row>
    <row r="320" ht="15.75" customHeight="1">
      <c r="B320" s="1126"/>
      <c r="C320" s="1126"/>
      <c r="D320" s="1126"/>
      <c r="E320" s="1126"/>
      <c r="F320" s="1126"/>
      <c r="G320" s="1126"/>
      <c r="H320" s="1126"/>
      <c r="I320" s="1126"/>
      <c r="J320" s="1126"/>
      <c r="K320" s="1126"/>
      <c r="L320" s="1126"/>
      <c r="M320" s="1126"/>
      <c r="N320" s="1126"/>
      <c r="O320" s="1126"/>
      <c r="P320" s="1126"/>
      <c r="Q320" s="1126"/>
      <c r="R320" s="1126"/>
      <c r="S320" s="1126"/>
      <c r="T320" s="1126"/>
      <c r="U320" s="1126"/>
      <c r="V320" s="1126"/>
      <c r="W320" s="1126"/>
      <c r="X320" s="1126"/>
      <c r="Y320" s="1126"/>
      <c r="Z320" s="1126"/>
      <c r="AA320" s="1126"/>
      <c r="AB320" s="1126"/>
    </row>
    <row r="321" ht="15.75" customHeight="1">
      <c r="B321" s="1126"/>
      <c r="C321" s="1126"/>
      <c r="D321" s="1126"/>
      <c r="E321" s="1126"/>
      <c r="F321" s="1126"/>
      <c r="G321" s="1126"/>
      <c r="H321" s="1126"/>
      <c r="I321" s="1126"/>
      <c r="J321" s="1126"/>
      <c r="K321" s="1126"/>
      <c r="L321" s="1126"/>
      <c r="M321" s="1126"/>
      <c r="N321" s="1126"/>
      <c r="O321" s="1126"/>
      <c r="P321" s="1126"/>
      <c r="Q321" s="1126"/>
      <c r="R321" s="1126"/>
      <c r="S321" s="1126"/>
      <c r="T321" s="1126"/>
      <c r="U321" s="1126"/>
      <c r="V321" s="1126"/>
      <c r="W321" s="1126"/>
      <c r="X321" s="1126"/>
      <c r="Y321" s="1126"/>
      <c r="Z321" s="1126"/>
      <c r="AA321" s="1126"/>
      <c r="AB321" s="1126"/>
    </row>
    <row r="322" ht="15.75" customHeight="1">
      <c r="B322" s="1126"/>
      <c r="C322" s="1126"/>
      <c r="D322" s="1126"/>
      <c r="E322" s="1126"/>
      <c r="F322" s="1126"/>
      <c r="G322" s="1126"/>
      <c r="H322" s="1126"/>
      <c r="I322" s="1126"/>
      <c r="J322" s="1126"/>
      <c r="K322" s="1126"/>
      <c r="L322" s="1126"/>
      <c r="M322" s="1126"/>
      <c r="N322" s="1126"/>
      <c r="O322" s="1126"/>
      <c r="P322" s="1126"/>
      <c r="Q322" s="1126"/>
      <c r="R322" s="1126"/>
      <c r="S322" s="1126"/>
      <c r="T322" s="1126"/>
      <c r="U322" s="1126"/>
      <c r="V322" s="1126"/>
      <c r="W322" s="1126"/>
      <c r="X322" s="1126"/>
      <c r="Y322" s="1126"/>
      <c r="Z322" s="1126"/>
      <c r="AA322" s="1126"/>
      <c r="AB322" s="1126"/>
    </row>
    <row r="323" ht="15.75" customHeight="1">
      <c r="B323" s="1126"/>
      <c r="C323" s="1126"/>
      <c r="D323" s="1126"/>
      <c r="E323" s="1126"/>
      <c r="F323" s="1126"/>
      <c r="G323" s="1126"/>
      <c r="H323" s="1126"/>
      <c r="I323" s="1126"/>
      <c r="J323" s="1126"/>
      <c r="K323" s="1126"/>
      <c r="L323" s="1126"/>
      <c r="M323" s="1126"/>
      <c r="N323" s="1126"/>
      <c r="O323" s="1126"/>
      <c r="P323" s="1126"/>
      <c r="Q323" s="1126"/>
      <c r="R323" s="1126"/>
      <c r="S323" s="1126"/>
      <c r="T323" s="1126"/>
      <c r="U323" s="1126"/>
      <c r="V323" s="1126"/>
      <c r="W323" s="1126"/>
      <c r="X323" s="1126"/>
      <c r="Y323" s="1126"/>
      <c r="Z323" s="1126"/>
      <c r="AA323" s="1126"/>
      <c r="AB323" s="1126"/>
    </row>
    <row r="324" ht="15.75" customHeight="1">
      <c r="B324" s="1126"/>
      <c r="C324" s="1126"/>
      <c r="D324" s="1126"/>
      <c r="E324" s="1126"/>
      <c r="F324" s="1126"/>
      <c r="G324" s="1126"/>
      <c r="H324" s="1126"/>
      <c r="I324" s="1126"/>
      <c r="J324" s="1126"/>
      <c r="K324" s="1126"/>
      <c r="L324" s="1126"/>
      <c r="M324" s="1126"/>
      <c r="N324" s="1126"/>
      <c r="O324" s="1126"/>
      <c r="P324" s="1126"/>
      <c r="Q324" s="1126"/>
      <c r="R324" s="1126"/>
      <c r="S324" s="1126"/>
      <c r="T324" s="1126"/>
      <c r="U324" s="1126"/>
      <c r="V324" s="1126"/>
      <c r="W324" s="1126"/>
      <c r="X324" s="1126"/>
      <c r="Y324" s="1126"/>
      <c r="Z324" s="1126"/>
      <c r="AA324" s="1126"/>
      <c r="AB324" s="1126"/>
    </row>
    <row r="325" ht="15.75" customHeight="1">
      <c r="B325" s="1126"/>
      <c r="C325" s="1126"/>
      <c r="D325" s="1126"/>
      <c r="E325" s="1126"/>
      <c r="F325" s="1126"/>
      <c r="G325" s="1126"/>
      <c r="H325" s="1126"/>
      <c r="I325" s="1126"/>
      <c r="J325" s="1126"/>
      <c r="K325" s="1126"/>
      <c r="L325" s="1126"/>
      <c r="M325" s="1126"/>
      <c r="N325" s="1126"/>
      <c r="O325" s="1126"/>
      <c r="P325" s="1126"/>
      <c r="Q325" s="1126"/>
      <c r="R325" s="1126"/>
      <c r="S325" s="1126"/>
      <c r="T325" s="1126"/>
      <c r="U325" s="1126"/>
      <c r="V325" s="1126"/>
      <c r="W325" s="1126"/>
      <c r="X325" s="1126"/>
      <c r="Y325" s="1126"/>
      <c r="Z325" s="1126"/>
      <c r="AA325" s="1126"/>
      <c r="AB325" s="1126"/>
    </row>
    <row r="326" ht="15.75" customHeight="1">
      <c r="B326" s="1126"/>
      <c r="C326" s="1126"/>
      <c r="D326" s="1126"/>
      <c r="E326" s="1126"/>
      <c r="F326" s="1126"/>
      <c r="G326" s="1126"/>
      <c r="H326" s="1126"/>
      <c r="I326" s="1126"/>
      <c r="J326" s="1126"/>
      <c r="K326" s="1126"/>
      <c r="L326" s="1126"/>
      <c r="M326" s="1126"/>
      <c r="N326" s="1126"/>
      <c r="O326" s="1126"/>
      <c r="P326" s="1126"/>
      <c r="Q326" s="1126"/>
      <c r="R326" s="1126"/>
      <c r="S326" s="1126"/>
      <c r="T326" s="1126"/>
      <c r="U326" s="1126"/>
      <c r="V326" s="1126"/>
      <c r="W326" s="1126"/>
      <c r="X326" s="1126"/>
      <c r="Y326" s="1126"/>
      <c r="Z326" s="1126"/>
      <c r="AA326" s="1126"/>
      <c r="AB326" s="1126"/>
    </row>
    <row r="327" ht="15.75" customHeight="1">
      <c r="B327" s="1126"/>
      <c r="C327" s="1126"/>
      <c r="D327" s="1126"/>
      <c r="E327" s="1126"/>
      <c r="F327" s="1126"/>
      <c r="G327" s="1126"/>
      <c r="H327" s="1126"/>
      <c r="I327" s="1126"/>
      <c r="J327" s="1126"/>
      <c r="K327" s="1126"/>
      <c r="L327" s="1126"/>
      <c r="M327" s="1126"/>
      <c r="N327" s="1126"/>
      <c r="O327" s="1126"/>
      <c r="P327" s="1126"/>
      <c r="Q327" s="1126"/>
      <c r="R327" s="1126"/>
      <c r="S327" s="1126"/>
      <c r="T327" s="1126"/>
      <c r="U327" s="1126"/>
      <c r="V327" s="1126"/>
      <c r="W327" s="1126"/>
      <c r="X327" s="1126"/>
      <c r="Y327" s="1126"/>
      <c r="Z327" s="1126"/>
      <c r="AA327" s="1126"/>
      <c r="AB327" s="1126"/>
    </row>
    <row r="328" ht="15.75" customHeight="1">
      <c r="B328" s="1126"/>
      <c r="C328" s="1126"/>
      <c r="D328" s="1126"/>
      <c r="E328" s="1126"/>
      <c r="F328" s="1126"/>
      <c r="G328" s="1126"/>
      <c r="H328" s="1126"/>
      <c r="I328" s="1126"/>
      <c r="J328" s="1126"/>
      <c r="K328" s="1126"/>
      <c r="L328" s="1126"/>
      <c r="M328" s="1126"/>
      <c r="N328" s="1126"/>
      <c r="O328" s="1126"/>
      <c r="P328" s="1126"/>
      <c r="Q328" s="1126"/>
      <c r="R328" s="1126"/>
      <c r="S328" s="1126"/>
      <c r="T328" s="1126"/>
      <c r="U328" s="1126"/>
      <c r="V328" s="1126"/>
      <c r="W328" s="1126"/>
      <c r="X328" s="1126"/>
      <c r="Y328" s="1126"/>
      <c r="Z328" s="1126"/>
      <c r="AA328" s="1126"/>
      <c r="AB328" s="1126"/>
    </row>
    <row r="329" ht="15.75" customHeight="1">
      <c r="B329" s="1126"/>
      <c r="C329" s="1126"/>
      <c r="D329" s="1126"/>
      <c r="E329" s="1126"/>
      <c r="F329" s="1126"/>
      <c r="G329" s="1126"/>
      <c r="H329" s="1126"/>
      <c r="I329" s="1126"/>
      <c r="J329" s="1126"/>
      <c r="K329" s="1126"/>
      <c r="L329" s="1126"/>
      <c r="M329" s="1126"/>
      <c r="N329" s="1126"/>
      <c r="O329" s="1126"/>
      <c r="P329" s="1126"/>
      <c r="Q329" s="1126"/>
      <c r="R329" s="1126"/>
      <c r="S329" s="1126"/>
      <c r="T329" s="1126"/>
      <c r="U329" s="1126"/>
      <c r="V329" s="1126"/>
      <c r="W329" s="1126"/>
      <c r="X329" s="1126"/>
      <c r="Y329" s="1126"/>
      <c r="Z329" s="1126"/>
      <c r="AA329" s="1126"/>
      <c r="AB329" s="1126"/>
    </row>
    <row r="330" ht="15.75" customHeight="1">
      <c r="B330" s="1126"/>
      <c r="C330" s="1126"/>
      <c r="D330" s="1126"/>
      <c r="E330" s="1126"/>
      <c r="F330" s="1126"/>
      <c r="G330" s="1126"/>
      <c r="H330" s="1126"/>
      <c r="I330" s="1126"/>
      <c r="J330" s="1126"/>
      <c r="K330" s="1126"/>
      <c r="L330" s="1126"/>
      <c r="M330" s="1126"/>
      <c r="N330" s="1126"/>
      <c r="O330" s="1126"/>
      <c r="P330" s="1126"/>
      <c r="Q330" s="1126"/>
      <c r="R330" s="1126"/>
      <c r="S330" s="1126"/>
      <c r="T330" s="1126"/>
      <c r="U330" s="1126"/>
      <c r="V330" s="1126"/>
      <c r="W330" s="1126"/>
      <c r="X330" s="1126"/>
      <c r="Y330" s="1126"/>
      <c r="Z330" s="1126"/>
      <c r="AA330" s="1126"/>
      <c r="AB330" s="1126"/>
    </row>
    <row r="331" ht="15.75" customHeight="1">
      <c r="B331" s="1126"/>
      <c r="C331" s="1126"/>
      <c r="D331" s="1126"/>
      <c r="E331" s="1126"/>
      <c r="F331" s="1126"/>
      <c r="G331" s="1126"/>
      <c r="H331" s="1126"/>
      <c r="I331" s="1126"/>
      <c r="J331" s="1126"/>
      <c r="K331" s="1126"/>
      <c r="L331" s="1126"/>
      <c r="M331" s="1126"/>
      <c r="N331" s="1126"/>
      <c r="O331" s="1126"/>
      <c r="P331" s="1126"/>
      <c r="Q331" s="1126"/>
      <c r="R331" s="1126"/>
      <c r="S331" s="1126"/>
      <c r="T331" s="1126"/>
      <c r="U331" s="1126"/>
      <c r="V331" s="1126"/>
      <c r="W331" s="1126"/>
      <c r="X331" s="1126"/>
      <c r="Y331" s="1126"/>
      <c r="Z331" s="1126"/>
      <c r="AA331" s="1126"/>
      <c r="AB331" s="1126"/>
    </row>
    <row r="332" ht="15.75" customHeight="1">
      <c r="B332" s="1126"/>
      <c r="C332" s="1126"/>
      <c r="D332" s="1126"/>
      <c r="E332" s="1126"/>
      <c r="F332" s="1126"/>
      <c r="G332" s="1126"/>
      <c r="H332" s="1126"/>
      <c r="I332" s="1126"/>
      <c r="J332" s="1126"/>
      <c r="K332" s="1126"/>
      <c r="L332" s="1126"/>
      <c r="M332" s="1126"/>
      <c r="N332" s="1126"/>
      <c r="O332" s="1126"/>
      <c r="P332" s="1126"/>
      <c r="Q332" s="1126"/>
      <c r="R332" s="1126"/>
      <c r="S332" s="1126"/>
      <c r="T332" s="1126"/>
      <c r="U332" s="1126"/>
      <c r="V332" s="1126"/>
      <c r="W332" s="1126"/>
      <c r="X332" s="1126"/>
      <c r="Y332" s="1126"/>
      <c r="Z332" s="1126"/>
      <c r="AA332" s="1126"/>
      <c r="AB332" s="1126"/>
    </row>
    <row r="333" ht="15.75" customHeight="1">
      <c r="B333" s="1126"/>
      <c r="C333" s="1126"/>
      <c r="D333" s="1126"/>
      <c r="E333" s="1126"/>
      <c r="F333" s="1126"/>
      <c r="G333" s="1126"/>
      <c r="H333" s="1126"/>
      <c r="I333" s="1126"/>
      <c r="J333" s="1126"/>
      <c r="K333" s="1126"/>
      <c r="L333" s="1126"/>
      <c r="M333" s="1126"/>
      <c r="N333" s="1126"/>
      <c r="O333" s="1126"/>
      <c r="P333" s="1126"/>
      <c r="Q333" s="1126"/>
      <c r="R333" s="1126"/>
      <c r="S333" s="1126"/>
      <c r="T333" s="1126"/>
      <c r="U333" s="1126"/>
      <c r="V333" s="1126"/>
      <c r="W333" s="1126"/>
      <c r="X333" s="1126"/>
      <c r="Y333" s="1126"/>
      <c r="Z333" s="1126"/>
      <c r="AA333" s="1126"/>
      <c r="AB333" s="1126"/>
    </row>
    <row r="334" ht="15.75" customHeight="1">
      <c r="B334" s="1126"/>
      <c r="C334" s="1126"/>
      <c r="D334" s="1126"/>
      <c r="E334" s="1126"/>
      <c r="F334" s="1126"/>
      <c r="G334" s="1126"/>
      <c r="H334" s="1126"/>
      <c r="I334" s="1126"/>
      <c r="J334" s="1126"/>
      <c r="K334" s="1126"/>
      <c r="L334" s="1126"/>
      <c r="M334" s="1126"/>
      <c r="N334" s="1126"/>
      <c r="O334" s="1126"/>
      <c r="P334" s="1126"/>
      <c r="Q334" s="1126"/>
      <c r="R334" s="1126"/>
      <c r="S334" s="1126"/>
      <c r="T334" s="1126"/>
      <c r="U334" s="1126"/>
      <c r="V334" s="1126"/>
      <c r="W334" s="1126"/>
      <c r="X334" s="1126"/>
      <c r="Y334" s="1126"/>
      <c r="Z334" s="1126"/>
      <c r="AA334" s="1126"/>
      <c r="AB334" s="1126"/>
    </row>
    <row r="335" ht="15.75" customHeight="1">
      <c r="B335" s="1126"/>
      <c r="C335" s="1126"/>
      <c r="D335" s="1126"/>
      <c r="E335" s="1126"/>
      <c r="F335" s="1126"/>
      <c r="G335" s="1126"/>
      <c r="H335" s="1126"/>
      <c r="I335" s="1126"/>
      <c r="J335" s="1126"/>
      <c r="K335" s="1126"/>
      <c r="L335" s="1126"/>
      <c r="M335" s="1126"/>
      <c r="N335" s="1126"/>
      <c r="O335" s="1126"/>
      <c r="P335" s="1126"/>
      <c r="Q335" s="1126"/>
      <c r="R335" s="1126"/>
      <c r="S335" s="1126"/>
      <c r="T335" s="1126"/>
      <c r="U335" s="1126"/>
      <c r="V335" s="1126"/>
      <c r="W335" s="1126"/>
      <c r="X335" s="1126"/>
      <c r="Y335" s="1126"/>
      <c r="Z335" s="1126"/>
      <c r="AA335" s="1126"/>
      <c r="AB335" s="1126"/>
    </row>
    <row r="336" ht="15.75" customHeight="1">
      <c r="B336" s="1126"/>
      <c r="C336" s="1126"/>
      <c r="D336" s="1126"/>
      <c r="E336" s="1126"/>
      <c r="F336" s="1126"/>
      <c r="G336" s="1126"/>
      <c r="H336" s="1126"/>
      <c r="I336" s="1126"/>
      <c r="J336" s="1126"/>
      <c r="K336" s="1126"/>
      <c r="L336" s="1126"/>
      <c r="M336" s="1126"/>
      <c r="N336" s="1126"/>
      <c r="O336" s="1126"/>
      <c r="P336" s="1126"/>
      <c r="Q336" s="1126"/>
      <c r="R336" s="1126"/>
      <c r="S336" s="1126"/>
      <c r="T336" s="1126"/>
      <c r="U336" s="1126"/>
      <c r="V336" s="1126"/>
      <c r="W336" s="1126"/>
      <c r="X336" s="1126"/>
      <c r="Y336" s="1126"/>
      <c r="Z336" s="1126"/>
      <c r="AA336" s="1126"/>
      <c r="AB336" s="1126"/>
    </row>
    <row r="337" ht="15.75" customHeight="1">
      <c r="B337" s="1126"/>
      <c r="C337" s="1126"/>
      <c r="D337" s="1126"/>
      <c r="E337" s="1126"/>
      <c r="F337" s="1126"/>
      <c r="G337" s="1126"/>
      <c r="H337" s="1126"/>
      <c r="I337" s="1126"/>
      <c r="J337" s="1126"/>
      <c r="K337" s="1126"/>
      <c r="L337" s="1126"/>
      <c r="M337" s="1126"/>
      <c r="N337" s="1126"/>
      <c r="O337" s="1126"/>
      <c r="P337" s="1126"/>
      <c r="Q337" s="1126"/>
      <c r="R337" s="1126"/>
      <c r="S337" s="1126"/>
      <c r="T337" s="1126"/>
      <c r="U337" s="1126"/>
      <c r="V337" s="1126"/>
      <c r="W337" s="1126"/>
      <c r="X337" s="1126"/>
      <c r="Y337" s="1126"/>
      <c r="Z337" s="1126"/>
      <c r="AA337" s="1126"/>
      <c r="AB337" s="1126"/>
    </row>
    <row r="338" ht="15.75" customHeight="1">
      <c r="B338" s="1126"/>
      <c r="C338" s="1126"/>
      <c r="D338" s="1126"/>
      <c r="E338" s="1126"/>
      <c r="F338" s="1126"/>
      <c r="G338" s="1126"/>
      <c r="H338" s="1126"/>
      <c r="I338" s="1126"/>
      <c r="J338" s="1126"/>
      <c r="K338" s="1126"/>
      <c r="L338" s="1126"/>
      <c r="M338" s="1126"/>
      <c r="N338" s="1126"/>
      <c r="O338" s="1126"/>
      <c r="P338" s="1126"/>
      <c r="Q338" s="1126"/>
      <c r="R338" s="1126"/>
      <c r="S338" s="1126"/>
      <c r="T338" s="1126"/>
      <c r="U338" s="1126"/>
      <c r="V338" s="1126"/>
      <c r="W338" s="1126"/>
      <c r="X338" s="1126"/>
      <c r="Y338" s="1126"/>
      <c r="Z338" s="1126"/>
      <c r="AA338" s="1126"/>
      <c r="AB338" s="1126"/>
    </row>
    <row r="339" ht="15.75" customHeight="1">
      <c r="B339" s="1126"/>
      <c r="C339" s="1126"/>
      <c r="D339" s="1126"/>
      <c r="E339" s="1126"/>
      <c r="F339" s="1126"/>
      <c r="G339" s="1126"/>
      <c r="H339" s="1126"/>
      <c r="I339" s="1126"/>
      <c r="J339" s="1126"/>
      <c r="K339" s="1126"/>
      <c r="L339" s="1126"/>
      <c r="M339" s="1126"/>
      <c r="N339" s="1126"/>
      <c r="O339" s="1126"/>
      <c r="P339" s="1126"/>
      <c r="Q339" s="1126"/>
      <c r="R339" s="1126"/>
      <c r="S339" s="1126"/>
      <c r="T339" s="1126"/>
      <c r="U339" s="1126"/>
      <c r="V339" s="1126"/>
      <c r="W339" s="1126"/>
      <c r="X339" s="1126"/>
      <c r="Y339" s="1126"/>
      <c r="Z339" s="1126"/>
      <c r="AA339" s="1126"/>
      <c r="AB339" s="1126"/>
    </row>
    <row r="340" ht="15.75" customHeight="1">
      <c r="B340" s="1126"/>
      <c r="C340" s="1126"/>
      <c r="D340" s="1126"/>
      <c r="E340" s="1126"/>
      <c r="F340" s="1126"/>
      <c r="G340" s="1126"/>
      <c r="H340" s="1126"/>
      <c r="I340" s="1126"/>
      <c r="J340" s="1126"/>
      <c r="K340" s="1126"/>
      <c r="L340" s="1126"/>
      <c r="M340" s="1126"/>
      <c r="N340" s="1126"/>
      <c r="O340" s="1126"/>
      <c r="P340" s="1126"/>
      <c r="Q340" s="1126"/>
      <c r="R340" s="1126"/>
      <c r="S340" s="1126"/>
      <c r="T340" s="1126"/>
      <c r="U340" s="1126"/>
      <c r="V340" s="1126"/>
      <c r="W340" s="1126"/>
      <c r="X340" s="1126"/>
      <c r="Y340" s="1126"/>
      <c r="Z340" s="1126"/>
      <c r="AA340" s="1126"/>
      <c r="AB340" s="1126"/>
    </row>
    <row r="341" ht="15.75" customHeight="1">
      <c r="B341" s="1126"/>
      <c r="C341" s="1126"/>
      <c r="D341" s="1126"/>
      <c r="E341" s="1126"/>
      <c r="F341" s="1126"/>
      <c r="G341" s="1126"/>
      <c r="H341" s="1126"/>
      <c r="I341" s="1126"/>
      <c r="J341" s="1126"/>
      <c r="K341" s="1126"/>
      <c r="L341" s="1126"/>
      <c r="M341" s="1126"/>
      <c r="N341" s="1126"/>
      <c r="O341" s="1126"/>
      <c r="P341" s="1126"/>
      <c r="Q341" s="1126"/>
      <c r="R341" s="1126"/>
      <c r="S341" s="1126"/>
      <c r="T341" s="1126"/>
      <c r="U341" s="1126"/>
      <c r="V341" s="1126"/>
      <c r="W341" s="1126"/>
      <c r="X341" s="1126"/>
      <c r="Y341" s="1126"/>
      <c r="Z341" s="1126"/>
      <c r="AA341" s="1126"/>
      <c r="AB341" s="1126"/>
    </row>
    <row r="342" ht="15.75" customHeight="1">
      <c r="B342" s="1126"/>
      <c r="C342" s="1126"/>
      <c r="D342" s="1126"/>
      <c r="E342" s="1126"/>
      <c r="F342" s="1126"/>
      <c r="G342" s="1126"/>
      <c r="H342" s="1126"/>
      <c r="I342" s="1126"/>
      <c r="J342" s="1126"/>
      <c r="K342" s="1126"/>
      <c r="L342" s="1126"/>
      <c r="M342" s="1126"/>
      <c r="N342" s="1126"/>
      <c r="O342" s="1126"/>
      <c r="P342" s="1126"/>
      <c r="Q342" s="1126"/>
      <c r="R342" s="1126"/>
      <c r="S342" s="1126"/>
      <c r="T342" s="1126"/>
      <c r="U342" s="1126"/>
      <c r="V342" s="1126"/>
      <c r="W342" s="1126"/>
      <c r="X342" s="1126"/>
      <c r="Y342" s="1126"/>
      <c r="Z342" s="1126"/>
      <c r="AA342" s="1126"/>
      <c r="AB342" s="1126"/>
    </row>
    <row r="343" ht="15.75" customHeight="1">
      <c r="B343" s="1126"/>
      <c r="C343" s="1126"/>
      <c r="D343" s="1126"/>
      <c r="E343" s="1126"/>
      <c r="F343" s="1126"/>
      <c r="G343" s="1126"/>
      <c r="H343" s="1126"/>
      <c r="I343" s="1126"/>
      <c r="J343" s="1126"/>
      <c r="K343" s="1126"/>
      <c r="L343" s="1126"/>
      <c r="M343" s="1126"/>
      <c r="N343" s="1126"/>
      <c r="O343" s="1126"/>
      <c r="P343" s="1126"/>
      <c r="Q343" s="1126"/>
      <c r="R343" s="1126"/>
      <c r="S343" s="1126"/>
      <c r="T343" s="1126"/>
      <c r="U343" s="1126"/>
      <c r="V343" s="1126"/>
      <c r="W343" s="1126"/>
      <c r="X343" s="1126"/>
      <c r="Y343" s="1126"/>
      <c r="Z343" s="1126"/>
      <c r="AA343" s="1126"/>
      <c r="AB343" s="1126"/>
    </row>
    <row r="344" ht="15.75" customHeight="1">
      <c r="B344" s="1126"/>
      <c r="C344" s="1126"/>
      <c r="D344" s="1126"/>
      <c r="E344" s="1126"/>
      <c r="F344" s="1126"/>
      <c r="G344" s="1126"/>
      <c r="H344" s="1126"/>
      <c r="I344" s="1126"/>
      <c r="J344" s="1126"/>
      <c r="K344" s="1126"/>
      <c r="L344" s="1126"/>
      <c r="M344" s="1126"/>
      <c r="N344" s="1126"/>
      <c r="O344" s="1126"/>
      <c r="P344" s="1126"/>
      <c r="Q344" s="1126"/>
      <c r="R344" s="1126"/>
      <c r="S344" s="1126"/>
      <c r="T344" s="1126"/>
      <c r="U344" s="1126"/>
      <c r="V344" s="1126"/>
      <c r="W344" s="1126"/>
      <c r="X344" s="1126"/>
      <c r="Y344" s="1126"/>
      <c r="Z344" s="1126"/>
      <c r="AA344" s="1126"/>
      <c r="AB344" s="1126"/>
    </row>
    <row r="345" ht="15.75" customHeight="1">
      <c r="B345" s="1126"/>
      <c r="C345" s="1126"/>
      <c r="D345" s="1126"/>
      <c r="E345" s="1126"/>
      <c r="F345" s="1126"/>
      <c r="G345" s="1126"/>
      <c r="H345" s="1126"/>
      <c r="I345" s="1126"/>
      <c r="J345" s="1126"/>
      <c r="K345" s="1126"/>
      <c r="L345" s="1126"/>
      <c r="M345" s="1126"/>
      <c r="N345" s="1126"/>
      <c r="O345" s="1126"/>
      <c r="P345" s="1126"/>
      <c r="Q345" s="1126"/>
      <c r="R345" s="1126"/>
      <c r="S345" s="1126"/>
      <c r="T345" s="1126"/>
      <c r="U345" s="1126"/>
      <c r="V345" s="1126"/>
      <c r="W345" s="1126"/>
      <c r="X345" s="1126"/>
      <c r="Y345" s="1126"/>
      <c r="Z345" s="1126"/>
      <c r="AA345" s="1126"/>
      <c r="AB345" s="1126"/>
    </row>
    <row r="346" ht="15.75" customHeight="1">
      <c r="B346" s="1126"/>
      <c r="C346" s="1126"/>
      <c r="D346" s="1126"/>
      <c r="E346" s="1126"/>
      <c r="F346" s="1126"/>
      <c r="G346" s="1126"/>
      <c r="H346" s="1126"/>
      <c r="I346" s="1126"/>
      <c r="J346" s="1126"/>
      <c r="K346" s="1126"/>
      <c r="L346" s="1126"/>
      <c r="M346" s="1126"/>
      <c r="N346" s="1126"/>
      <c r="O346" s="1126"/>
      <c r="P346" s="1126"/>
      <c r="Q346" s="1126"/>
      <c r="R346" s="1126"/>
      <c r="S346" s="1126"/>
      <c r="T346" s="1126"/>
      <c r="U346" s="1126"/>
      <c r="V346" s="1126"/>
      <c r="W346" s="1126"/>
      <c r="X346" s="1126"/>
      <c r="Y346" s="1126"/>
      <c r="Z346" s="1126"/>
      <c r="AA346" s="1126"/>
      <c r="AB346" s="1126"/>
    </row>
    <row r="347" ht="15.75" customHeight="1">
      <c r="B347" s="1126"/>
      <c r="C347" s="1126"/>
      <c r="D347" s="1126"/>
      <c r="E347" s="1126"/>
      <c r="F347" s="1126"/>
      <c r="G347" s="1126"/>
      <c r="H347" s="1126"/>
      <c r="I347" s="1126"/>
      <c r="J347" s="1126"/>
      <c r="K347" s="1126"/>
      <c r="L347" s="1126"/>
      <c r="M347" s="1126"/>
      <c r="N347" s="1126"/>
      <c r="O347" s="1126"/>
      <c r="P347" s="1126"/>
      <c r="Q347" s="1126"/>
      <c r="R347" s="1126"/>
      <c r="S347" s="1126"/>
      <c r="T347" s="1126"/>
      <c r="U347" s="1126"/>
      <c r="V347" s="1126"/>
      <c r="W347" s="1126"/>
      <c r="X347" s="1126"/>
      <c r="Y347" s="1126"/>
      <c r="Z347" s="1126"/>
      <c r="AA347" s="1126"/>
      <c r="AB347" s="1126"/>
    </row>
    <row r="348" ht="15.75" customHeight="1">
      <c r="B348" s="1126"/>
      <c r="C348" s="1126"/>
      <c r="D348" s="1126"/>
      <c r="E348" s="1126"/>
      <c r="F348" s="1126"/>
      <c r="G348" s="1126"/>
      <c r="H348" s="1126"/>
      <c r="I348" s="1126"/>
      <c r="J348" s="1126"/>
      <c r="K348" s="1126"/>
      <c r="L348" s="1126"/>
      <c r="M348" s="1126"/>
      <c r="N348" s="1126"/>
      <c r="O348" s="1126"/>
      <c r="P348" s="1126"/>
      <c r="Q348" s="1126"/>
      <c r="R348" s="1126"/>
      <c r="S348" s="1126"/>
      <c r="T348" s="1126"/>
      <c r="U348" s="1126"/>
      <c r="V348" s="1126"/>
      <c r="W348" s="1126"/>
      <c r="X348" s="1126"/>
      <c r="Y348" s="1126"/>
      <c r="Z348" s="1126"/>
      <c r="AA348" s="1126"/>
      <c r="AB348" s="1126"/>
    </row>
    <row r="349" ht="15.75" customHeight="1">
      <c r="B349" s="1126"/>
      <c r="C349" s="1126"/>
      <c r="D349" s="1126"/>
      <c r="E349" s="1126"/>
      <c r="F349" s="1126"/>
      <c r="G349" s="1126"/>
      <c r="H349" s="1126"/>
      <c r="I349" s="1126"/>
      <c r="J349" s="1126"/>
      <c r="K349" s="1126"/>
      <c r="L349" s="1126"/>
      <c r="M349" s="1126"/>
      <c r="N349" s="1126"/>
      <c r="O349" s="1126"/>
      <c r="P349" s="1126"/>
      <c r="Q349" s="1126"/>
      <c r="R349" s="1126"/>
      <c r="S349" s="1126"/>
      <c r="T349" s="1126"/>
      <c r="U349" s="1126"/>
      <c r="V349" s="1126"/>
      <c r="W349" s="1126"/>
      <c r="X349" s="1126"/>
      <c r="Y349" s="1126"/>
      <c r="Z349" s="1126"/>
      <c r="AA349" s="1126"/>
      <c r="AB349" s="1126"/>
    </row>
    <row r="350" ht="15.75" customHeight="1">
      <c r="B350" s="1126"/>
      <c r="C350" s="1126"/>
      <c r="D350" s="1126"/>
      <c r="E350" s="1126"/>
      <c r="F350" s="1126"/>
      <c r="G350" s="1126"/>
      <c r="H350" s="1126"/>
      <c r="I350" s="1126"/>
      <c r="J350" s="1126"/>
      <c r="K350" s="1126"/>
      <c r="L350" s="1126"/>
      <c r="M350" s="1126"/>
      <c r="N350" s="1126"/>
      <c r="O350" s="1126"/>
      <c r="P350" s="1126"/>
      <c r="Q350" s="1126"/>
      <c r="R350" s="1126"/>
      <c r="S350" s="1126"/>
      <c r="T350" s="1126"/>
      <c r="U350" s="1126"/>
      <c r="V350" s="1126"/>
      <c r="W350" s="1126"/>
      <c r="X350" s="1126"/>
      <c r="Y350" s="1126"/>
      <c r="Z350" s="1126"/>
      <c r="AA350" s="1126"/>
      <c r="AB350" s="1126"/>
    </row>
    <row r="351" ht="15.75" customHeight="1">
      <c r="B351" s="1126"/>
      <c r="C351" s="1126"/>
      <c r="D351" s="1126"/>
      <c r="E351" s="1126"/>
      <c r="F351" s="1126"/>
      <c r="G351" s="1126"/>
      <c r="H351" s="1126"/>
      <c r="I351" s="1126"/>
      <c r="J351" s="1126"/>
      <c r="K351" s="1126"/>
      <c r="L351" s="1126"/>
      <c r="M351" s="1126"/>
      <c r="N351" s="1126"/>
      <c r="O351" s="1126"/>
      <c r="P351" s="1126"/>
      <c r="Q351" s="1126"/>
      <c r="R351" s="1126"/>
      <c r="S351" s="1126"/>
      <c r="T351" s="1126"/>
      <c r="U351" s="1126"/>
      <c r="V351" s="1126"/>
      <c r="W351" s="1126"/>
      <c r="X351" s="1126"/>
      <c r="Y351" s="1126"/>
      <c r="Z351" s="1126"/>
      <c r="AA351" s="1126"/>
      <c r="AB351" s="1126"/>
    </row>
    <row r="352" ht="15.75" customHeight="1">
      <c r="B352" s="1126"/>
      <c r="C352" s="1126"/>
      <c r="D352" s="1126"/>
      <c r="E352" s="1126"/>
      <c r="F352" s="1126"/>
      <c r="G352" s="1126"/>
      <c r="H352" s="1126"/>
      <c r="I352" s="1126"/>
      <c r="J352" s="1126"/>
      <c r="K352" s="1126"/>
      <c r="L352" s="1126"/>
      <c r="M352" s="1126"/>
      <c r="N352" s="1126"/>
      <c r="O352" s="1126"/>
      <c r="P352" s="1126"/>
      <c r="Q352" s="1126"/>
      <c r="R352" s="1126"/>
      <c r="S352" s="1126"/>
      <c r="T352" s="1126"/>
      <c r="U352" s="1126"/>
      <c r="V352" s="1126"/>
      <c r="W352" s="1126"/>
      <c r="X352" s="1126"/>
      <c r="Y352" s="1126"/>
      <c r="Z352" s="1126"/>
      <c r="AA352" s="1126"/>
      <c r="AB352" s="1126"/>
    </row>
    <row r="353" ht="15.75" customHeight="1">
      <c r="B353" s="1126"/>
      <c r="C353" s="1126"/>
      <c r="D353" s="1126"/>
      <c r="E353" s="1126"/>
      <c r="F353" s="1126"/>
      <c r="G353" s="1126"/>
      <c r="H353" s="1126"/>
      <c r="I353" s="1126"/>
      <c r="J353" s="1126"/>
      <c r="K353" s="1126"/>
      <c r="L353" s="1126"/>
      <c r="M353" s="1126"/>
      <c r="N353" s="1126"/>
      <c r="O353" s="1126"/>
      <c r="P353" s="1126"/>
      <c r="Q353" s="1126"/>
      <c r="R353" s="1126"/>
      <c r="S353" s="1126"/>
      <c r="T353" s="1126"/>
      <c r="U353" s="1126"/>
      <c r="V353" s="1126"/>
      <c r="W353" s="1126"/>
      <c r="X353" s="1126"/>
      <c r="Y353" s="1126"/>
      <c r="Z353" s="1126"/>
      <c r="AA353" s="1126"/>
      <c r="AB353" s="1126"/>
    </row>
    <row r="354" ht="15.75" customHeight="1">
      <c r="B354" s="1126"/>
      <c r="C354" s="1126"/>
      <c r="D354" s="1126"/>
      <c r="E354" s="1126"/>
      <c r="F354" s="1126"/>
      <c r="G354" s="1126"/>
      <c r="H354" s="1126"/>
      <c r="I354" s="1126"/>
      <c r="J354" s="1126"/>
      <c r="K354" s="1126"/>
      <c r="L354" s="1126"/>
      <c r="M354" s="1126"/>
      <c r="N354" s="1126"/>
      <c r="O354" s="1126"/>
      <c r="P354" s="1126"/>
      <c r="Q354" s="1126"/>
      <c r="R354" s="1126"/>
      <c r="S354" s="1126"/>
      <c r="T354" s="1126"/>
      <c r="U354" s="1126"/>
      <c r="V354" s="1126"/>
      <c r="W354" s="1126"/>
      <c r="X354" s="1126"/>
      <c r="Y354" s="1126"/>
      <c r="Z354" s="1126"/>
      <c r="AA354" s="1126"/>
      <c r="AB354" s="1126"/>
    </row>
    <row r="355" ht="15.75" customHeight="1">
      <c r="B355" s="1126"/>
      <c r="C355" s="1126"/>
      <c r="D355" s="1126"/>
      <c r="E355" s="1126"/>
      <c r="F355" s="1126"/>
      <c r="G355" s="1126"/>
      <c r="H355" s="1126"/>
      <c r="I355" s="1126"/>
      <c r="J355" s="1126"/>
      <c r="K355" s="1126"/>
      <c r="L355" s="1126"/>
      <c r="M355" s="1126"/>
      <c r="N355" s="1126"/>
      <c r="O355" s="1126"/>
      <c r="P355" s="1126"/>
      <c r="Q355" s="1126"/>
      <c r="R355" s="1126"/>
      <c r="S355" s="1126"/>
      <c r="T355" s="1126"/>
      <c r="U355" s="1126"/>
      <c r="V355" s="1126"/>
      <c r="W355" s="1126"/>
      <c r="X355" s="1126"/>
      <c r="Y355" s="1126"/>
      <c r="Z355" s="1126"/>
      <c r="AA355" s="1126"/>
      <c r="AB355" s="1126"/>
    </row>
    <row r="356" ht="15.75" customHeight="1">
      <c r="B356" s="1126"/>
      <c r="C356" s="1126"/>
      <c r="D356" s="1126"/>
      <c r="E356" s="1126"/>
      <c r="F356" s="1126"/>
      <c r="G356" s="1126"/>
      <c r="H356" s="1126"/>
      <c r="I356" s="1126"/>
      <c r="J356" s="1126"/>
      <c r="K356" s="1126"/>
      <c r="L356" s="1126"/>
      <c r="M356" s="1126"/>
      <c r="N356" s="1126"/>
      <c r="O356" s="1126"/>
      <c r="P356" s="1126"/>
      <c r="Q356" s="1126"/>
      <c r="R356" s="1126"/>
      <c r="S356" s="1126"/>
      <c r="T356" s="1126"/>
      <c r="U356" s="1126"/>
      <c r="V356" s="1126"/>
      <c r="W356" s="1126"/>
      <c r="X356" s="1126"/>
      <c r="Y356" s="1126"/>
      <c r="Z356" s="1126"/>
      <c r="AA356" s="1126"/>
      <c r="AB356" s="1126"/>
    </row>
    <row r="357" ht="15.75" customHeight="1">
      <c r="B357" s="1126"/>
      <c r="C357" s="1126"/>
      <c r="D357" s="1126"/>
      <c r="E357" s="1126"/>
      <c r="F357" s="1126"/>
      <c r="G357" s="1126"/>
      <c r="H357" s="1126"/>
      <c r="I357" s="1126"/>
      <c r="J357" s="1126"/>
      <c r="K357" s="1126"/>
      <c r="L357" s="1126"/>
      <c r="M357" s="1126"/>
      <c r="N357" s="1126"/>
      <c r="O357" s="1126"/>
      <c r="P357" s="1126"/>
      <c r="Q357" s="1126"/>
      <c r="R357" s="1126"/>
      <c r="S357" s="1126"/>
      <c r="T357" s="1126"/>
      <c r="U357" s="1126"/>
      <c r="V357" s="1126"/>
      <c r="W357" s="1126"/>
      <c r="X357" s="1126"/>
      <c r="Y357" s="1126"/>
      <c r="Z357" s="1126"/>
      <c r="AA357" s="1126"/>
      <c r="AB357" s="1126"/>
    </row>
    <row r="358" ht="15.75" customHeight="1">
      <c r="B358" s="1126"/>
      <c r="C358" s="1126"/>
      <c r="D358" s="1126"/>
      <c r="E358" s="1126"/>
      <c r="F358" s="1126"/>
      <c r="G358" s="1126"/>
      <c r="H358" s="1126"/>
      <c r="I358" s="1126"/>
      <c r="J358" s="1126"/>
      <c r="K358" s="1126"/>
      <c r="L358" s="1126"/>
      <c r="M358" s="1126"/>
      <c r="N358" s="1126"/>
      <c r="O358" s="1126"/>
      <c r="P358" s="1126"/>
      <c r="Q358" s="1126"/>
      <c r="R358" s="1126"/>
      <c r="S358" s="1126"/>
      <c r="T358" s="1126"/>
      <c r="U358" s="1126"/>
      <c r="V358" s="1126"/>
      <c r="W358" s="1126"/>
      <c r="X358" s="1126"/>
      <c r="Y358" s="1126"/>
      <c r="Z358" s="1126"/>
      <c r="AA358" s="1126"/>
      <c r="AB358" s="1126"/>
    </row>
    <row r="359" ht="15.75" customHeight="1">
      <c r="B359" s="1126"/>
      <c r="C359" s="1126"/>
      <c r="D359" s="1126"/>
      <c r="E359" s="1126"/>
      <c r="F359" s="1126"/>
      <c r="G359" s="1126"/>
      <c r="H359" s="1126"/>
      <c r="I359" s="1126"/>
      <c r="J359" s="1126"/>
      <c r="K359" s="1126"/>
      <c r="L359" s="1126"/>
      <c r="M359" s="1126"/>
      <c r="N359" s="1126"/>
      <c r="O359" s="1126"/>
      <c r="P359" s="1126"/>
      <c r="Q359" s="1126"/>
      <c r="R359" s="1126"/>
      <c r="S359" s="1126"/>
      <c r="T359" s="1126"/>
      <c r="U359" s="1126"/>
      <c r="V359" s="1126"/>
      <c r="W359" s="1126"/>
      <c r="X359" s="1126"/>
      <c r="Y359" s="1126"/>
      <c r="Z359" s="1126"/>
      <c r="AA359" s="1126"/>
      <c r="AB359" s="1126"/>
    </row>
    <row r="360" ht="15.75" customHeight="1">
      <c r="B360" s="1126"/>
      <c r="C360" s="1126"/>
      <c r="D360" s="1126"/>
      <c r="E360" s="1126"/>
      <c r="F360" s="1126"/>
      <c r="G360" s="1126"/>
      <c r="H360" s="1126"/>
      <c r="I360" s="1126"/>
      <c r="J360" s="1126"/>
      <c r="K360" s="1126"/>
      <c r="L360" s="1126"/>
      <c r="M360" s="1126"/>
      <c r="N360" s="1126"/>
      <c r="O360" s="1126"/>
      <c r="P360" s="1126"/>
      <c r="Q360" s="1126"/>
      <c r="R360" s="1126"/>
      <c r="S360" s="1126"/>
      <c r="T360" s="1126"/>
      <c r="U360" s="1126"/>
      <c r="V360" s="1126"/>
      <c r="W360" s="1126"/>
      <c r="X360" s="1126"/>
      <c r="Y360" s="1126"/>
      <c r="Z360" s="1126"/>
      <c r="AA360" s="1126"/>
      <c r="AB360" s="1126"/>
    </row>
    <row r="361" ht="15.75" customHeight="1">
      <c r="B361" s="1126"/>
      <c r="C361" s="1126"/>
      <c r="D361" s="1126"/>
      <c r="E361" s="1126"/>
      <c r="F361" s="1126"/>
      <c r="G361" s="1126"/>
      <c r="H361" s="1126"/>
      <c r="I361" s="1126"/>
      <c r="J361" s="1126"/>
      <c r="K361" s="1126"/>
      <c r="L361" s="1126"/>
      <c r="M361" s="1126"/>
      <c r="N361" s="1126"/>
      <c r="O361" s="1126"/>
      <c r="P361" s="1126"/>
      <c r="Q361" s="1126"/>
      <c r="R361" s="1126"/>
      <c r="S361" s="1126"/>
      <c r="T361" s="1126"/>
      <c r="U361" s="1126"/>
      <c r="V361" s="1126"/>
      <c r="W361" s="1126"/>
      <c r="X361" s="1126"/>
      <c r="Y361" s="1126"/>
      <c r="Z361" s="1126"/>
      <c r="AA361" s="1126"/>
      <c r="AB361" s="1126"/>
    </row>
    <row r="362" ht="15.75" customHeight="1">
      <c r="B362" s="1126"/>
      <c r="C362" s="1126"/>
      <c r="D362" s="1126"/>
      <c r="E362" s="1126"/>
      <c r="F362" s="1126"/>
      <c r="G362" s="1126"/>
      <c r="H362" s="1126"/>
      <c r="I362" s="1126"/>
      <c r="J362" s="1126"/>
      <c r="K362" s="1126"/>
      <c r="L362" s="1126"/>
      <c r="M362" s="1126"/>
      <c r="N362" s="1126"/>
      <c r="O362" s="1126"/>
      <c r="P362" s="1126"/>
      <c r="Q362" s="1126"/>
      <c r="R362" s="1126"/>
      <c r="S362" s="1126"/>
      <c r="T362" s="1126"/>
      <c r="U362" s="1126"/>
      <c r="V362" s="1126"/>
      <c r="W362" s="1126"/>
      <c r="X362" s="1126"/>
      <c r="Y362" s="1126"/>
      <c r="Z362" s="1126"/>
      <c r="AA362" s="1126"/>
      <c r="AB362" s="1126"/>
    </row>
    <row r="363" ht="15.75" customHeight="1">
      <c r="B363" s="1126"/>
      <c r="C363" s="1126"/>
      <c r="D363" s="1126"/>
      <c r="E363" s="1126"/>
      <c r="F363" s="1126"/>
      <c r="G363" s="1126"/>
      <c r="H363" s="1126"/>
      <c r="I363" s="1126"/>
      <c r="J363" s="1126"/>
      <c r="K363" s="1126"/>
      <c r="L363" s="1126"/>
      <c r="M363" s="1126"/>
      <c r="N363" s="1126"/>
      <c r="O363" s="1126"/>
      <c r="P363" s="1126"/>
      <c r="Q363" s="1126"/>
      <c r="R363" s="1126"/>
      <c r="S363" s="1126"/>
      <c r="T363" s="1126"/>
      <c r="U363" s="1126"/>
      <c r="V363" s="1126"/>
      <c r="W363" s="1126"/>
      <c r="X363" s="1126"/>
      <c r="Y363" s="1126"/>
      <c r="Z363" s="1126"/>
      <c r="AA363" s="1126"/>
      <c r="AB363" s="1126"/>
    </row>
    <row r="364" ht="15.75" customHeight="1">
      <c r="B364" s="1126"/>
      <c r="C364" s="1126"/>
      <c r="D364" s="1126"/>
      <c r="E364" s="1126"/>
      <c r="F364" s="1126"/>
      <c r="G364" s="1126"/>
      <c r="H364" s="1126"/>
      <c r="I364" s="1126"/>
      <c r="J364" s="1126"/>
      <c r="K364" s="1126"/>
      <c r="L364" s="1126"/>
      <c r="M364" s="1126"/>
      <c r="N364" s="1126"/>
      <c r="O364" s="1126"/>
      <c r="P364" s="1126"/>
      <c r="Q364" s="1126"/>
      <c r="R364" s="1126"/>
      <c r="S364" s="1126"/>
      <c r="T364" s="1126"/>
      <c r="U364" s="1126"/>
      <c r="V364" s="1126"/>
      <c r="W364" s="1126"/>
      <c r="X364" s="1126"/>
      <c r="Y364" s="1126"/>
      <c r="Z364" s="1126"/>
      <c r="AA364" s="1126"/>
      <c r="AB364" s="1126"/>
    </row>
    <row r="365" ht="15.75" customHeight="1">
      <c r="B365" s="1126"/>
      <c r="C365" s="1126"/>
      <c r="D365" s="1126"/>
      <c r="E365" s="1126"/>
      <c r="F365" s="1126"/>
      <c r="G365" s="1126"/>
      <c r="H365" s="1126"/>
      <c r="I365" s="1126"/>
      <c r="J365" s="1126"/>
      <c r="K365" s="1126"/>
      <c r="L365" s="1126"/>
      <c r="M365" s="1126"/>
      <c r="N365" s="1126"/>
      <c r="O365" s="1126"/>
      <c r="P365" s="1126"/>
      <c r="Q365" s="1126"/>
      <c r="R365" s="1126"/>
      <c r="S365" s="1126"/>
      <c r="T365" s="1126"/>
      <c r="U365" s="1126"/>
      <c r="V365" s="1126"/>
      <c r="W365" s="1126"/>
      <c r="X365" s="1126"/>
      <c r="Y365" s="1126"/>
      <c r="Z365" s="1126"/>
      <c r="AA365" s="1126"/>
      <c r="AB365" s="1126"/>
    </row>
    <row r="366" ht="15.75" customHeight="1">
      <c r="B366" s="1126"/>
      <c r="C366" s="1126"/>
      <c r="D366" s="1126"/>
      <c r="E366" s="1126"/>
      <c r="F366" s="1126"/>
      <c r="G366" s="1126"/>
      <c r="H366" s="1126"/>
      <c r="I366" s="1126"/>
      <c r="J366" s="1126"/>
      <c r="K366" s="1126"/>
      <c r="L366" s="1126"/>
      <c r="M366" s="1126"/>
      <c r="N366" s="1126"/>
      <c r="O366" s="1126"/>
      <c r="P366" s="1126"/>
      <c r="Q366" s="1126"/>
      <c r="R366" s="1126"/>
      <c r="S366" s="1126"/>
      <c r="T366" s="1126"/>
      <c r="U366" s="1126"/>
      <c r="V366" s="1126"/>
      <c r="W366" s="1126"/>
      <c r="X366" s="1126"/>
      <c r="Y366" s="1126"/>
      <c r="Z366" s="1126"/>
      <c r="AA366" s="1126"/>
      <c r="AB366" s="1126"/>
    </row>
    <row r="367" ht="15.75" customHeight="1">
      <c r="B367" s="1126"/>
      <c r="C367" s="1126"/>
      <c r="D367" s="1126"/>
      <c r="E367" s="1126"/>
      <c r="F367" s="1126"/>
      <c r="G367" s="1126"/>
      <c r="H367" s="1126"/>
      <c r="I367" s="1126"/>
      <c r="J367" s="1126"/>
      <c r="K367" s="1126"/>
      <c r="L367" s="1126"/>
      <c r="M367" s="1126"/>
      <c r="N367" s="1126"/>
      <c r="O367" s="1126"/>
      <c r="P367" s="1126"/>
      <c r="Q367" s="1126"/>
      <c r="R367" s="1126"/>
      <c r="S367" s="1126"/>
      <c r="T367" s="1126"/>
      <c r="U367" s="1126"/>
      <c r="V367" s="1126"/>
      <c r="W367" s="1126"/>
      <c r="X367" s="1126"/>
      <c r="Y367" s="1126"/>
      <c r="Z367" s="1126"/>
      <c r="AA367" s="1126"/>
      <c r="AB367" s="1126"/>
    </row>
    <row r="368" ht="15.75" customHeight="1">
      <c r="B368" s="1126"/>
      <c r="C368" s="1126"/>
      <c r="D368" s="1126"/>
      <c r="E368" s="1126"/>
      <c r="F368" s="1126"/>
      <c r="G368" s="1126"/>
      <c r="H368" s="1126"/>
      <c r="I368" s="1126"/>
      <c r="J368" s="1126"/>
      <c r="K368" s="1126"/>
      <c r="L368" s="1126"/>
      <c r="M368" s="1126"/>
      <c r="N368" s="1126"/>
      <c r="O368" s="1126"/>
      <c r="P368" s="1126"/>
      <c r="Q368" s="1126"/>
      <c r="R368" s="1126"/>
      <c r="S368" s="1126"/>
      <c r="T368" s="1126"/>
      <c r="U368" s="1126"/>
      <c r="V368" s="1126"/>
      <c r="W368" s="1126"/>
      <c r="X368" s="1126"/>
      <c r="Y368" s="1126"/>
      <c r="Z368" s="1126"/>
      <c r="AA368" s="1126"/>
      <c r="AB368" s="1126"/>
    </row>
    <row r="369" ht="15.75" customHeight="1">
      <c r="B369" s="1126"/>
      <c r="C369" s="1126"/>
      <c r="D369" s="1126"/>
      <c r="E369" s="1126"/>
      <c r="F369" s="1126"/>
      <c r="G369" s="1126"/>
      <c r="H369" s="1126"/>
      <c r="I369" s="1126"/>
      <c r="J369" s="1126"/>
      <c r="K369" s="1126"/>
      <c r="L369" s="1126"/>
      <c r="M369" s="1126"/>
      <c r="N369" s="1126"/>
      <c r="O369" s="1126"/>
      <c r="P369" s="1126"/>
      <c r="Q369" s="1126"/>
      <c r="R369" s="1126"/>
      <c r="S369" s="1126"/>
      <c r="T369" s="1126"/>
      <c r="U369" s="1126"/>
      <c r="V369" s="1126"/>
      <c r="W369" s="1126"/>
      <c r="X369" s="1126"/>
      <c r="Y369" s="1126"/>
      <c r="Z369" s="1126"/>
      <c r="AA369" s="1126"/>
      <c r="AB369" s="1126"/>
    </row>
    <row r="370" ht="15.75" customHeight="1">
      <c r="B370" s="1126"/>
      <c r="C370" s="1126"/>
      <c r="D370" s="1126"/>
      <c r="E370" s="1126"/>
      <c r="F370" s="1126"/>
      <c r="G370" s="1126"/>
      <c r="H370" s="1126"/>
      <c r="I370" s="1126"/>
      <c r="J370" s="1126"/>
      <c r="K370" s="1126"/>
      <c r="L370" s="1126"/>
      <c r="M370" s="1126"/>
      <c r="N370" s="1126"/>
      <c r="O370" s="1126"/>
      <c r="P370" s="1126"/>
      <c r="Q370" s="1126"/>
      <c r="R370" s="1126"/>
      <c r="S370" s="1126"/>
      <c r="T370" s="1126"/>
      <c r="U370" s="1126"/>
      <c r="V370" s="1126"/>
      <c r="W370" s="1126"/>
      <c r="X370" s="1126"/>
      <c r="Y370" s="1126"/>
      <c r="Z370" s="1126"/>
      <c r="AA370" s="1126"/>
      <c r="AB370" s="1126"/>
    </row>
    <row r="371" ht="15.75" customHeight="1">
      <c r="B371" s="1126"/>
      <c r="C371" s="1126"/>
      <c r="D371" s="1126"/>
      <c r="E371" s="1126"/>
      <c r="F371" s="1126"/>
      <c r="G371" s="1126"/>
      <c r="H371" s="1126"/>
      <c r="I371" s="1126"/>
      <c r="J371" s="1126"/>
      <c r="K371" s="1126"/>
      <c r="L371" s="1126"/>
      <c r="M371" s="1126"/>
      <c r="N371" s="1126"/>
      <c r="O371" s="1126"/>
      <c r="P371" s="1126"/>
      <c r="Q371" s="1126"/>
      <c r="R371" s="1126"/>
      <c r="S371" s="1126"/>
      <c r="T371" s="1126"/>
      <c r="U371" s="1126"/>
      <c r="V371" s="1126"/>
      <c r="W371" s="1126"/>
      <c r="X371" s="1126"/>
      <c r="Y371" s="1126"/>
      <c r="Z371" s="1126"/>
      <c r="AA371" s="1126"/>
      <c r="AB371" s="1126"/>
    </row>
    <row r="372" ht="15.75" customHeight="1">
      <c r="B372" s="1126"/>
      <c r="C372" s="1126"/>
      <c r="D372" s="1126"/>
      <c r="E372" s="1126"/>
      <c r="F372" s="1126"/>
      <c r="G372" s="1126"/>
      <c r="H372" s="1126"/>
      <c r="I372" s="1126"/>
      <c r="J372" s="1126"/>
      <c r="K372" s="1126"/>
      <c r="L372" s="1126"/>
      <c r="M372" s="1126"/>
      <c r="N372" s="1126"/>
      <c r="O372" s="1126"/>
      <c r="P372" s="1126"/>
      <c r="Q372" s="1126"/>
      <c r="R372" s="1126"/>
      <c r="S372" s="1126"/>
      <c r="T372" s="1126"/>
      <c r="U372" s="1126"/>
      <c r="V372" s="1126"/>
      <c r="W372" s="1126"/>
      <c r="X372" s="1126"/>
      <c r="Y372" s="1126"/>
      <c r="Z372" s="1126"/>
      <c r="AA372" s="1126"/>
      <c r="AB372" s="1126"/>
    </row>
    <row r="373" ht="15.75" customHeight="1">
      <c r="B373" s="1126"/>
      <c r="C373" s="1126"/>
      <c r="D373" s="1126"/>
      <c r="E373" s="1126"/>
      <c r="F373" s="1126"/>
      <c r="G373" s="1126"/>
      <c r="H373" s="1126"/>
      <c r="I373" s="1126"/>
      <c r="J373" s="1126"/>
      <c r="K373" s="1126"/>
      <c r="L373" s="1126"/>
      <c r="M373" s="1126"/>
      <c r="N373" s="1126"/>
      <c r="O373" s="1126"/>
      <c r="P373" s="1126"/>
      <c r="Q373" s="1126"/>
      <c r="R373" s="1126"/>
      <c r="S373" s="1126"/>
      <c r="T373" s="1126"/>
      <c r="U373" s="1126"/>
      <c r="V373" s="1126"/>
      <c r="W373" s="1126"/>
      <c r="X373" s="1126"/>
      <c r="Y373" s="1126"/>
      <c r="Z373" s="1126"/>
      <c r="AA373" s="1126"/>
      <c r="AB373" s="1126"/>
    </row>
    <row r="374" ht="15.75" customHeight="1">
      <c r="B374" s="1126"/>
      <c r="C374" s="1126"/>
      <c r="D374" s="1126"/>
      <c r="E374" s="1126"/>
      <c r="F374" s="1126"/>
      <c r="G374" s="1126"/>
      <c r="H374" s="1126"/>
      <c r="I374" s="1126"/>
      <c r="J374" s="1126"/>
      <c r="K374" s="1126"/>
      <c r="L374" s="1126"/>
      <c r="M374" s="1126"/>
      <c r="N374" s="1126"/>
      <c r="O374" s="1126"/>
      <c r="P374" s="1126"/>
      <c r="Q374" s="1126"/>
      <c r="R374" s="1126"/>
      <c r="S374" s="1126"/>
      <c r="T374" s="1126"/>
      <c r="U374" s="1126"/>
      <c r="V374" s="1126"/>
      <c r="W374" s="1126"/>
      <c r="X374" s="1126"/>
      <c r="Y374" s="1126"/>
      <c r="Z374" s="1126"/>
      <c r="AA374" s="1126"/>
      <c r="AB374" s="1126"/>
    </row>
    <row r="375" ht="15.75" customHeight="1">
      <c r="B375" s="1126"/>
      <c r="C375" s="1126"/>
      <c r="D375" s="1126"/>
      <c r="E375" s="1126"/>
      <c r="F375" s="1126"/>
      <c r="G375" s="1126"/>
      <c r="H375" s="1126"/>
      <c r="I375" s="1126"/>
      <c r="J375" s="1126"/>
      <c r="K375" s="1126"/>
      <c r="L375" s="1126"/>
      <c r="M375" s="1126"/>
      <c r="N375" s="1126"/>
      <c r="O375" s="1126"/>
      <c r="P375" s="1126"/>
      <c r="Q375" s="1126"/>
      <c r="R375" s="1126"/>
      <c r="S375" s="1126"/>
      <c r="T375" s="1126"/>
      <c r="U375" s="1126"/>
      <c r="V375" s="1126"/>
      <c r="W375" s="1126"/>
      <c r="X375" s="1126"/>
      <c r="Y375" s="1126"/>
      <c r="Z375" s="1126"/>
      <c r="AA375" s="1126"/>
      <c r="AB375" s="1126"/>
    </row>
    <row r="376" ht="15.75" customHeight="1">
      <c r="B376" s="1126"/>
      <c r="C376" s="1126"/>
      <c r="D376" s="1126"/>
      <c r="E376" s="1126"/>
      <c r="F376" s="1126"/>
      <c r="G376" s="1126"/>
      <c r="H376" s="1126"/>
      <c r="I376" s="1126"/>
      <c r="J376" s="1126"/>
      <c r="K376" s="1126"/>
      <c r="L376" s="1126"/>
      <c r="M376" s="1126"/>
      <c r="N376" s="1126"/>
      <c r="O376" s="1126"/>
      <c r="P376" s="1126"/>
      <c r="Q376" s="1126"/>
      <c r="R376" s="1126"/>
      <c r="S376" s="1126"/>
      <c r="T376" s="1126"/>
      <c r="U376" s="1126"/>
      <c r="V376" s="1126"/>
      <c r="W376" s="1126"/>
      <c r="X376" s="1126"/>
      <c r="Y376" s="1126"/>
      <c r="Z376" s="1126"/>
      <c r="AA376" s="1126"/>
      <c r="AB376" s="1126"/>
    </row>
    <row r="377" ht="15.75" customHeight="1">
      <c r="B377" s="1126"/>
      <c r="C377" s="1126"/>
      <c r="D377" s="1126"/>
      <c r="E377" s="1126"/>
      <c r="F377" s="1126"/>
      <c r="G377" s="1126"/>
      <c r="H377" s="1126"/>
      <c r="I377" s="1126"/>
      <c r="J377" s="1126"/>
      <c r="K377" s="1126"/>
      <c r="L377" s="1126"/>
      <c r="M377" s="1126"/>
      <c r="N377" s="1126"/>
      <c r="O377" s="1126"/>
      <c r="P377" s="1126"/>
      <c r="Q377" s="1126"/>
      <c r="R377" s="1126"/>
      <c r="S377" s="1126"/>
      <c r="T377" s="1126"/>
      <c r="U377" s="1126"/>
      <c r="V377" s="1126"/>
      <c r="W377" s="1126"/>
      <c r="X377" s="1126"/>
      <c r="Y377" s="1126"/>
      <c r="Z377" s="1126"/>
      <c r="AA377" s="1126"/>
      <c r="AB377" s="1126"/>
    </row>
    <row r="378" ht="15.75" customHeight="1">
      <c r="B378" s="1126"/>
      <c r="C378" s="1126"/>
      <c r="D378" s="1126"/>
      <c r="E378" s="1126"/>
      <c r="F378" s="1126"/>
      <c r="G378" s="1126"/>
      <c r="H378" s="1126"/>
      <c r="I378" s="1126"/>
      <c r="J378" s="1126"/>
      <c r="K378" s="1126"/>
      <c r="L378" s="1126"/>
      <c r="M378" s="1126"/>
      <c r="N378" s="1126"/>
      <c r="O378" s="1126"/>
      <c r="P378" s="1126"/>
      <c r="Q378" s="1126"/>
      <c r="R378" s="1126"/>
      <c r="S378" s="1126"/>
      <c r="T378" s="1126"/>
      <c r="U378" s="1126"/>
      <c r="V378" s="1126"/>
      <c r="W378" s="1126"/>
      <c r="X378" s="1126"/>
      <c r="Y378" s="1126"/>
      <c r="Z378" s="1126"/>
      <c r="AA378" s="1126"/>
      <c r="AB378" s="1126"/>
    </row>
    <row r="379" ht="15.75" customHeight="1">
      <c r="B379" s="1126"/>
      <c r="C379" s="1126"/>
      <c r="D379" s="1126"/>
      <c r="E379" s="1126"/>
      <c r="F379" s="1126"/>
      <c r="G379" s="1126"/>
      <c r="H379" s="1126"/>
      <c r="I379" s="1126"/>
      <c r="J379" s="1126"/>
      <c r="K379" s="1126"/>
      <c r="L379" s="1126"/>
      <c r="M379" s="1126"/>
      <c r="N379" s="1126"/>
      <c r="O379" s="1126"/>
      <c r="P379" s="1126"/>
      <c r="Q379" s="1126"/>
      <c r="R379" s="1126"/>
      <c r="S379" s="1126"/>
      <c r="T379" s="1126"/>
      <c r="U379" s="1126"/>
      <c r="V379" s="1126"/>
      <c r="W379" s="1126"/>
      <c r="X379" s="1126"/>
      <c r="Y379" s="1126"/>
      <c r="Z379" s="1126"/>
      <c r="AA379" s="1126"/>
      <c r="AB379" s="1126"/>
    </row>
    <row r="380" ht="15.75" customHeight="1">
      <c r="B380" s="1126"/>
      <c r="C380" s="1126"/>
      <c r="D380" s="1126"/>
      <c r="E380" s="1126"/>
      <c r="F380" s="1126"/>
      <c r="G380" s="1126"/>
      <c r="H380" s="1126"/>
      <c r="I380" s="1126"/>
      <c r="J380" s="1126"/>
      <c r="K380" s="1126"/>
      <c r="L380" s="1126"/>
      <c r="M380" s="1126"/>
      <c r="N380" s="1126"/>
      <c r="O380" s="1126"/>
      <c r="P380" s="1126"/>
      <c r="Q380" s="1126"/>
      <c r="R380" s="1126"/>
      <c r="S380" s="1126"/>
      <c r="T380" s="1126"/>
      <c r="U380" s="1126"/>
      <c r="V380" s="1126"/>
      <c r="W380" s="1126"/>
      <c r="X380" s="1126"/>
      <c r="Y380" s="1126"/>
      <c r="Z380" s="1126"/>
      <c r="AA380" s="1126"/>
      <c r="AB380" s="1126"/>
    </row>
    <row r="381" ht="15.75" customHeight="1">
      <c r="B381" s="1126"/>
      <c r="C381" s="1126"/>
      <c r="D381" s="1126"/>
      <c r="E381" s="1126"/>
      <c r="F381" s="1126"/>
      <c r="G381" s="1126"/>
      <c r="H381" s="1126"/>
      <c r="I381" s="1126"/>
      <c r="J381" s="1126"/>
      <c r="K381" s="1126"/>
      <c r="L381" s="1126"/>
      <c r="M381" s="1126"/>
      <c r="N381" s="1126"/>
      <c r="O381" s="1126"/>
      <c r="P381" s="1126"/>
      <c r="Q381" s="1126"/>
      <c r="R381" s="1126"/>
      <c r="S381" s="1126"/>
      <c r="T381" s="1126"/>
      <c r="U381" s="1126"/>
      <c r="V381" s="1126"/>
      <c r="W381" s="1126"/>
      <c r="X381" s="1126"/>
      <c r="Y381" s="1126"/>
      <c r="Z381" s="1126"/>
      <c r="AA381" s="1126"/>
      <c r="AB381" s="1126"/>
    </row>
    <row r="382" ht="15.75" customHeight="1">
      <c r="B382" s="1126"/>
      <c r="C382" s="1126"/>
      <c r="D382" s="1126"/>
      <c r="E382" s="1126"/>
      <c r="F382" s="1126"/>
      <c r="G382" s="1126"/>
      <c r="H382" s="1126"/>
      <c r="I382" s="1126"/>
      <c r="J382" s="1126"/>
      <c r="K382" s="1126"/>
      <c r="L382" s="1126"/>
      <c r="M382" s="1126"/>
      <c r="N382" s="1126"/>
      <c r="O382" s="1126"/>
      <c r="P382" s="1126"/>
      <c r="Q382" s="1126"/>
      <c r="R382" s="1126"/>
      <c r="S382" s="1126"/>
      <c r="T382" s="1126"/>
      <c r="U382" s="1126"/>
      <c r="V382" s="1126"/>
      <c r="W382" s="1126"/>
      <c r="X382" s="1126"/>
      <c r="Y382" s="1126"/>
      <c r="Z382" s="1126"/>
      <c r="AA382" s="1126"/>
      <c r="AB382" s="1126"/>
    </row>
    <row r="383" ht="15.75" customHeight="1">
      <c r="B383" s="1126"/>
      <c r="C383" s="1126"/>
      <c r="D383" s="1126"/>
      <c r="E383" s="1126"/>
      <c r="F383" s="1126"/>
      <c r="G383" s="1126"/>
      <c r="H383" s="1126"/>
      <c r="I383" s="1126"/>
      <c r="J383" s="1126"/>
      <c r="K383" s="1126"/>
      <c r="L383" s="1126"/>
      <c r="M383" s="1126"/>
      <c r="N383" s="1126"/>
      <c r="O383" s="1126"/>
      <c r="P383" s="1126"/>
      <c r="Q383" s="1126"/>
      <c r="R383" s="1126"/>
      <c r="S383" s="1126"/>
      <c r="T383" s="1126"/>
      <c r="U383" s="1126"/>
      <c r="V383" s="1126"/>
      <c r="W383" s="1126"/>
      <c r="X383" s="1126"/>
      <c r="Y383" s="1126"/>
      <c r="Z383" s="1126"/>
      <c r="AA383" s="1126"/>
      <c r="AB383" s="1126"/>
    </row>
    <row r="384" ht="15.75" customHeight="1">
      <c r="B384" s="1126"/>
      <c r="C384" s="1126"/>
      <c r="D384" s="1126"/>
      <c r="E384" s="1126"/>
      <c r="F384" s="1126"/>
      <c r="G384" s="1126"/>
      <c r="H384" s="1126"/>
      <c r="I384" s="1126"/>
      <c r="J384" s="1126"/>
      <c r="K384" s="1126"/>
      <c r="L384" s="1126"/>
      <c r="M384" s="1126"/>
      <c r="N384" s="1126"/>
      <c r="O384" s="1126"/>
      <c r="P384" s="1126"/>
      <c r="Q384" s="1126"/>
      <c r="R384" s="1126"/>
      <c r="S384" s="1126"/>
      <c r="T384" s="1126"/>
      <c r="U384" s="1126"/>
      <c r="V384" s="1126"/>
      <c r="W384" s="1126"/>
      <c r="X384" s="1126"/>
      <c r="Y384" s="1126"/>
      <c r="Z384" s="1126"/>
      <c r="AA384" s="1126"/>
      <c r="AB384" s="1126"/>
    </row>
    <row r="385" ht="15.75" customHeight="1">
      <c r="B385" s="1126"/>
      <c r="C385" s="1126"/>
      <c r="D385" s="1126"/>
      <c r="E385" s="1126"/>
      <c r="F385" s="1126"/>
      <c r="G385" s="1126"/>
      <c r="H385" s="1126"/>
      <c r="I385" s="1126"/>
      <c r="J385" s="1126"/>
      <c r="K385" s="1126"/>
      <c r="L385" s="1126"/>
      <c r="M385" s="1126"/>
      <c r="N385" s="1126"/>
      <c r="O385" s="1126"/>
      <c r="P385" s="1126"/>
      <c r="Q385" s="1126"/>
      <c r="R385" s="1126"/>
      <c r="S385" s="1126"/>
      <c r="T385" s="1126"/>
      <c r="U385" s="1126"/>
      <c r="V385" s="1126"/>
      <c r="W385" s="1126"/>
      <c r="X385" s="1126"/>
      <c r="Y385" s="1126"/>
      <c r="Z385" s="1126"/>
      <c r="AA385" s="1126"/>
      <c r="AB385" s="1126"/>
    </row>
    <row r="386" ht="15.75" customHeight="1">
      <c r="B386" s="1126"/>
      <c r="C386" s="1126"/>
      <c r="D386" s="1126"/>
      <c r="E386" s="1126"/>
      <c r="F386" s="1126"/>
      <c r="G386" s="1126"/>
      <c r="H386" s="1126"/>
      <c r="I386" s="1126"/>
      <c r="J386" s="1126"/>
      <c r="K386" s="1126"/>
      <c r="L386" s="1126"/>
      <c r="M386" s="1126"/>
      <c r="N386" s="1126"/>
      <c r="O386" s="1126"/>
      <c r="P386" s="1126"/>
      <c r="Q386" s="1126"/>
      <c r="R386" s="1126"/>
      <c r="S386" s="1126"/>
      <c r="T386" s="1126"/>
      <c r="U386" s="1126"/>
      <c r="V386" s="1126"/>
      <c r="W386" s="1126"/>
      <c r="X386" s="1126"/>
      <c r="Y386" s="1126"/>
      <c r="Z386" s="1126"/>
      <c r="AA386" s="1126"/>
      <c r="AB386" s="1126"/>
    </row>
    <row r="387" ht="15.75" customHeight="1">
      <c r="B387" s="1126"/>
      <c r="C387" s="1126"/>
      <c r="D387" s="1126"/>
      <c r="E387" s="1126"/>
      <c r="F387" s="1126"/>
      <c r="G387" s="1126"/>
      <c r="H387" s="1126"/>
      <c r="I387" s="1126"/>
      <c r="J387" s="1126"/>
      <c r="K387" s="1126"/>
      <c r="L387" s="1126"/>
      <c r="M387" s="1126"/>
      <c r="N387" s="1126"/>
      <c r="O387" s="1126"/>
      <c r="P387" s="1126"/>
      <c r="Q387" s="1126"/>
      <c r="R387" s="1126"/>
      <c r="S387" s="1126"/>
      <c r="T387" s="1126"/>
      <c r="U387" s="1126"/>
      <c r="V387" s="1126"/>
      <c r="W387" s="1126"/>
      <c r="X387" s="1126"/>
      <c r="Y387" s="1126"/>
      <c r="Z387" s="1126"/>
      <c r="AA387" s="1126"/>
      <c r="AB387" s="1126"/>
    </row>
    <row r="388" ht="15.75" customHeight="1">
      <c r="B388" s="1126"/>
      <c r="C388" s="1126"/>
      <c r="D388" s="1126"/>
      <c r="E388" s="1126"/>
      <c r="F388" s="1126"/>
      <c r="G388" s="1126"/>
      <c r="H388" s="1126"/>
      <c r="I388" s="1126"/>
      <c r="J388" s="1126"/>
      <c r="K388" s="1126"/>
      <c r="L388" s="1126"/>
      <c r="M388" s="1126"/>
      <c r="N388" s="1126"/>
      <c r="O388" s="1126"/>
      <c r="P388" s="1126"/>
      <c r="Q388" s="1126"/>
      <c r="R388" s="1126"/>
      <c r="S388" s="1126"/>
      <c r="T388" s="1126"/>
      <c r="U388" s="1126"/>
      <c r="V388" s="1126"/>
      <c r="W388" s="1126"/>
      <c r="X388" s="1126"/>
      <c r="Y388" s="1126"/>
      <c r="Z388" s="1126"/>
      <c r="AA388" s="1126"/>
      <c r="AB388" s="1126"/>
    </row>
    <row r="389" ht="15.75" customHeight="1">
      <c r="B389" s="1126"/>
      <c r="C389" s="1126"/>
      <c r="D389" s="1126"/>
      <c r="E389" s="1126"/>
      <c r="F389" s="1126"/>
      <c r="G389" s="1126"/>
      <c r="H389" s="1126"/>
      <c r="I389" s="1126"/>
      <c r="J389" s="1126"/>
      <c r="K389" s="1126"/>
      <c r="L389" s="1126"/>
      <c r="M389" s="1126"/>
      <c r="N389" s="1126"/>
      <c r="O389" s="1126"/>
      <c r="P389" s="1126"/>
      <c r="Q389" s="1126"/>
      <c r="R389" s="1126"/>
      <c r="S389" s="1126"/>
      <c r="T389" s="1126"/>
      <c r="U389" s="1126"/>
      <c r="V389" s="1126"/>
      <c r="W389" s="1126"/>
      <c r="X389" s="1126"/>
      <c r="Y389" s="1126"/>
      <c r="Z389" s="1126"/>
      <c r="AA389" s="1126"/>
      <c r="AB389" s="1126"/>
    </row>
    <row r="390" ht="15.75" customHeight="1">
      <c r="B390" s="1126"/>
      <c r="C390" s="1126"/>
      <c r="D390" s="1126"/>
      <c r="E390" s="1126"/>
      <c r="F390" s="1126"/>
      <c r="G390" s="1126"/>
      <c r="H390" s="1126"/>
      <c r="I390" s="1126"/>
      <c r="J390" s="1126"/>
      <c r="K390" s="1126"/>
      <c r="L390" s="1126"/>
      <c r="M390" s="1126"/>
      <c r="N390" s="1126"/>
      <c r="O390" s="1126"/>
      <c r="P390" s="1126"/>
      <c r="Q390" s="1126"/>
      <c r="R390" s="1126"/>
      <c r="S390" s="1126"/>
      <c r="T390" s="1126"/>
      <c r="U390" s="1126"/>
      <c r="V390" s="1126"/>
      <c r="W390" s="1126"/>
      <c r="X390" s="1126"/>
      <c r="Y390" s="1126"/>
      <c r="Z390" s="1126"/>
      <c r="AA390" s="1126"/>
      <c r="AB390" s="1126"/>
    </row>
    <row r="391" ht="15.75" customHeight="1">
      <c r="B391" s="1126"/>
      <c r="C391" s="1126"/>
      <c r="D391" s="1126"/>
      <c r="E391" s="1126"/>
      <c r="F391" s="1126"/>
      <c r="G391" s="1126"/>
      <c r="H391" s="1126"/>
      <c r="I391" s="1126"/>
      <c r="J391" s="1126"/>
      <c r="K391" s="1126"/>
      <c r="L391" s="1126"/>
      <c r="M391" s="1126"/>
      <c r="N391" s="1126"/>
      <c r="O391" s="1126"/>
      <c r="P391" s="1126"/>
      <c r="Q391" s="1126"/>
      <c r="R391" s="1126"/>
      <c r="S391" s="1126"/>
      <c r="T391" s="1126"/>
      <c r="U391" s="1126"/>
      <c r="V391" s="1126"/>
      <c r="W391" s="1126"/>
      <c r="X391" s="1126"/>
      <c r="Y391" s="1126"/>
      <c r="Z391" s="1126"/>
      <c r="AA391" s="1126"/>
      <c r="AB391" s="1126"/>
    </row>
    <row r="392" ht="15.75" customHeight="1">
      <c r="B392" s="1126"/>
      <c r="C392" s="1126"/>
      <c r="D392" s="1126"/>
      <c r="E392" s="1126"/>
      <c r="F392" s="1126"/>
      <c r="G392" s="1126"/>
      <c r="H392" s="1126"/>
      <c r="I392" s="1126"/>
      <c r="J392" s="1126"/>
      <c r="K392" s="1126"/>
      <c r="L392" s="1126"/>
      <c r="M392" s="1126"/>
      <c r="N392" s="1126"/>
      <c r="O392" s="1126"/>
      <c r="P392" s="1126"/>
      <c r="Q392" s="1126"/>
      <c r="R392" s="1126"/>
      <c r="S392" s="1126"/>
      <c r="T392" s="1126"/>
      <c r="U392" s="1126"/>
      <c r="V392" s="1126"/>
      <c r="W392" s="1126"/>
      <c r="X392" s="1126"/>
      <c r="Y392" s="1126"/>
      <c r="Z392" s="1126"/>
      <c r="AA392" s="1126"/>
      <c r="AB392" s="1126"/>
    </row>
    <row r="393" ht="15.75" customHeight="1">
      <c r="B393" s="1126"/>
      <c r="C393" s="1126"/>
      <c r="D393" s="1126"/>
      <c r="E393" s="1126"/>
      <c r="F393" s="1126"/>
      <c r="G393" s="1126"/>
      <c r="H393" s="1126"/>
      <c r="I393" s="1126"/>
      <c r="J393" s="1126"/>
      <c r="K393" s="1126"/>
      <c r="L393" s="1126"/>
      <c r="M393" s="1126"/>
      <c r="N393" s="1126"/>
      <c r="O393" s="1126"/>
      <c r="P393" s="1126"/>
      <c r="Q393" s="1126"/>
      <c r="R393" s="1126"/>
      <c r="S393" s="1126"/>
      <c r="T393" s="1126"/>
      <c r="U393" s="1126"/>
      <c r="V393" s="1126"/>
      <c r="W393" s="1126"/>
      <c r="X393" s="1126"/>
      <c r="Y393" s="1126"/>
      <c r="Z393" s="1126"/>
      <c r="AA393" s="1126"/>
      <c r="AB393" s="1126"/>
    </row>
    <row r="394" ht="15.75" customHeight="1">
      <c r="B394" s="1126"/>
      <c r="C394" s="1126"/>
      <c r="D394" s="1126"/>
      <c r="E394" s="1126"/>
      <c r="F394" s="1126"/>
      <c r="G394" s="1126"/>
      <c r="H394" s="1126"/>
      <c r="I394" s="1126"/>
      <c r="J394" s="1126"/>
      <c r="K394" s="1126"/>
      <c r="L394" s="1126"/>
      <c r="M394" s="1126"/>
      <c r="N394" s="1126"/>
      <c r="O394" s="1126"/>
      <c r="P394" s="1126"/>
      <c r="Q394" s="1126"/>
      <c r="R394" s="1126"/>
      <c r="S394" s="1126"/>
      <c r="T394" s="1126"/>
      <c r="U394" s="1126"/>
      <c r="V394" s="1126"/>
      <c r="W394" s="1126"/>
      <c r="X394" s="1126"/>
      <c r="Y394" s="1126"/>
      <c r="Z394" s="1126"/>
      <c r="AA394" s="1126"/>
      <c r="AB394" s="1126"/>
    </row>
    <row r="395" ht="15.75" customHeight="1">
      <c r="B395" s="1126"/>
      <c r="C395" s="1126"/>
      <c r="D395" s="1126"/>
      <c r="E395" s="1126"/>
      <c r="F395" s="1126"/>
      <c r="G395" s="1126"/>
      <c r="H395" s="1126"/>
      <c r="I395" s="1126"/>
      <c r="J395" s="1126"/>
      <c r="K395" s="1126"/>
      <c r="L395" s="1126"/>
      <c r="M395" s="1126"/>
      <c r="N395" s="1126"/>
      <c r="O395" s="1126"/>
      <c r="P395" s="1126"/>
      <c r="Q395" s="1126"/>
      <c r="R395" s="1126"/>
      <c r="S395" s="1126"/>
      <c r="T395" s="1126"/>
      <c r="U395" s="1126"/>
      <c r="V395" s="1126"/>
      <c r="W395" s="1126"/>
      <c r="X395" s="1126"/>
      <c r="Y395" s="1126"/>
      <c r="Z395" s="1126"/>
      <c r="AA395" s="1126"/>
      <c r="AB395" s="1126"/>
    </row>
    <row r="396" ht="15.75" customHeight="1">
      <c r="B396" s="1126"/>
      <c r="C396" s="1126"/>
      <c r="D396" s="1126"/>
      <c r="E396" s="1126"/>
      <c r="F396" s="1126"/>
      <c r="G396" s="1126"/>
      <c r="H396" s="1126"/>
      <c r="I396" s="1126"/>
      <c r="J396" s="1126"/>
      <c r="K396" s="1126"/>
      <c r="L396" s="1126"/>
      <c r="M396" s="1126"/>
      <c r="N396" s="1126"/>
      <c r="O396" s="1126"/>
      <c r="P396" s="1126"/>
      <c r="Q396" s="1126"/>
      <c r="R396" s="1126"/>
      <c r="S396" s="1126"/>
      <c r="T396" s="1126"/>
      <c r="U396" s="1126"/>
      <c r="V396" s="1126"/>
      <c r="W396" s="1126"/>
      <c r="X396" s="1126"/>
      <c r="Y396" s="1126"/>
      <c r="Z396" s="1126"/>
      <c r="AA396" s="1126"/>
      <c r="AB396" s="1126"/>
    </row>
    <row r="397" ht="15.75" customHeight="1">
      <c r="B397" s="1126"/>
      <c r="C397" s="1126"/>
      <c r="D397" s="1126"/>
      <c r="E397" s="1126"/>
      <c r="F397" s="1126"/>
      <c r="G397" s="1126"/>
      <c r="H397" s="1126"/>
      <c r="I397" s="1126"/>
      <c r="J397" s="1126"/>
      <c r="K397" s="1126"/>
      <c r="L397" s="1126"/>
      <c r="M397" s="1126"/>
      <c r="N397" s="1126"/>
      <c r="O397" s="1126"/>
      <c r="P397" s="1126"/>
      <c r="Q397" s="1126"/>
      <c r="R397" s="1126"/>
      <c r="S397" s="1126"/>
      <c r="T397" s="1126"/>
      <c r="U397" s="1126"/>
      <c r="V397" s="1126"/>
      <c r="W397" s="1126"/>
      <c r="X397" s="1126"/>
      <c r="Y397" s="1126"/>
      <c r="Z397" s="1126"/>
      <c r="AA397" s="1126"/>
      <c r="AB397" s="1126"/>
    </row>
    <row r="398" ht="15.75" customHeight="1">
      <c r="B398" s="1126"/>
      <c r="C398" s="1126"/>
      <c r="D398" s="1126"/>
      <c r="E398" s="1126"/>
      <c r="F398" s="1126"/>
      <c r="G398" s="1126"/>
      <c r="H398" s="1126"/>
      <c r="I398" s="1126"/>
      <c r="J398" s="1126"/>
      <c r="K398" s="1126"/>
      <c r="L398" s="1126"/>
      <c r="M398" s="1126"/>
      <c r="N398" s="1126"/>
      <c r="O398" s="1126"/>
      <c r="P398" s="1126"/>
      <c r="Q398" s="1126"/>
      <c r="R398" s="1126"/>
      <c r="S398" s="1126"/>
      <c r="T398" s="1126"/>
      <c r="U398" s="1126"/>
      <c r="V398" s="1126"/>
      <c r="W398" s="1126"/>
      <c r="X398" s="1126"/>
      <c r="Y398" s="1126"/>
      <c r="Z398" s="1126"/>
      <c r="AA398" s="1126"/>
      <c r="AB398" s="1126"/>
    </row>
    <row r="399" ht="15.75" customHeight="1">
      <c r="B399" s="1126"/>
      <c r="C399" s="1126"/>
      <c r="D399" s="1126"/>
      <c r="E399" s="1126"/>
      <c r="F399" s="1126"/>
      <c r="G399" s="1126"/>
      <c r="H399" s="1126"/>
      <c r="I399" s="1126"/>
      <c r="J399" s="1126"/>
      <c r="K399" s="1126"/>
      <c r="L399" s="1126"/>
      <c r="M399" s="1126"/>
      <c r="N399" s="1126"/>
      <c r="O399" s="1126"/>
      <c r="P399" s="1126"/>
      <c r="Q399" s="1126"/>
      <c r="R399" s="1126"/>
      <c r="S399" s="1126"/>
      <c r="T399" s="1126"/>
      <c r="U399" s="1126"/>
      <c r="V399" s="1126"/>
      <c r="W399" s="1126"/>
      <c r="X399" s="1126"/>
      <c r="Y399" s="1126"/>
      <c r="Z399" s="1126"/>
      <c r="AA399" s="1126"/>
      <c r="AB399" s="1126"/>
    </row>
    <row r="400" ht="15.75" customHeight="1">
      <c r="B400" s="1126"/>
      <c r="C400" s="1126"/>
      <c r="D400" s="1126"/>
      <c r="E400" s="1126"/>
      <c r="F400" s="1126"/>
      <c r="G400" s="1126"/>
      <c r="H400" s="1126"/>
      <c r="I400" s="1126"/>
      <c r="J400" s="1126"/>
      <c r="K400" s="1126"/>
      <c r="L400" s="1126"/>
      <c r="M400" s="1126"/>
      <c r="N400" s="1126"/>
      <c r="O400" s="1126"/>
      <c r="P400" s="1126"/>
      <c r="Q400" s="1126"/>
      <c r="R400" s="1126"/>
      <c r="S400" s="1126"/>
      <c r="T400" s="1126"/>
      <c r="U400" s="1126"/>
      <c r="V400" s="1126"/>
      <c r="W400" s="1126"/>
      <c r="X400" s="1126"/>
      <c r="Y400" s="1126"/>
      <c r="Z400" s="1126"/>
      <c r="AA400" s="1126"/>
      <c r="AB400" s="1126"/>
    </row>
    <row r="401" ht="15.75" customHeight="1">
      <c r="B401" s="1126"/>
      <c r="C401" s="1126"/>
      <c r="D401" s="1126"/>
      <c r="E401" s="1126"/>
      <c r="F401" s="1126"/>
      <c r="G401" s="1126"/>
      <c r="H401" s="1126"/>
      <c r="I401" s="1126"/>
      <c r="J401" s="1126"/>
      <c r="K401" s="1126"/>
      <c r="L401" s="1126"/>
      <c r="M401" s="1126"/>
      <c r="N401" s="1126"/>
      <c r="O401" s="1126"/>
      <c r="P401" s="1126"/>
      <c r="Q401" s="1126"/>
      <c r="R401" s="1126"/>
      <c r="S401" s="1126"/>
      <c r="T401" s="1126"/>
      <c r="U401" s="1126"/>
      <c r="V401" s="1126"/>
      <c r="W401" s="1126"/>
      <c r="X401" s="1126"/>
      <c r="Y401" s="1126"/>
      <c r="Z401" s="1126"/>
      <c r="AA401" s="1126"/>
      <c r="AB401" s="1126"/>
    </row>
    <row r="402" ht="15.75" customHeight="1">
      <c r="B402" s="1126"/>
      <c r="C402" s="1126"/>
      <c r="D402" s="1126"/>
      <c r="E402" s="1126"/>
      <c r="F402" s="1126"/>
      <c r="G402" s="1126"/>
      <c r="H402" s="1126"/>
      <c r="I402" s="1126"/>
      <c r="J402" s="1126"/>
      <c r="K402" s="1126"/>
      <c r="L402" s="1126"/>
      <c r="M402" s="1126"/>
      <c r="N402" s="1126"/>
      <c r="O402" s="1126"/>
      <c r="P402" s="1126"/>
      <c r="Q402" s="1126"/>
      <c r="R402" s="1126"/>
      <c r="S402" s="1126"/>
      <c r="T402" s="1126"/>
      <c r="U402" s="1126"/>
      <c r="V402" s="1126"/>
      <c r="W402" s="1126"/>
      <c r="X402" s="1126"/>
      <c r="Y402" s="1126"/>
      <c r="Z402" s="1126"/>
      <c r="AA402" s="1126"/>
      <c r="AB402" s="1126"/>
    </row>
    <row r="403" ht="15.75" customHeight="1">
      <c r="B403" s="1126"/>
      <c r="C403" s="1126"/>
      <c r="D403" s="1126"/>
      <c r="E403" s="1126"/>
      <c r="F403" s="1126"/>
      <c r="G403" s="1126"/>
      <c r="H403" s="1126"/>
      <c r="I403" s="1126"/>
      <c r="J403" s="1126"/>
      <c r="K403" s="1126"/>
      <c r="L403" s="1126"/>
      <c r="M403" s="1126"/>
      <c r="N403" s="1126"/>
      <c r="O403" s="1126"/>
      <c r="P403" s="1126"/>
      <c r="Q403" s="1126"/>
      <c r="R403" s="1126"/>
      <c r="S403" s="1126"/>
      <c r="T403" s="1126"/>
      <c r="U403" s="1126"/>
      <c r="V403" s="1126"/>
      <c r="W403" s="1126"/>
      <c r="X403" s="1126"/>
      <c r="Y403" s="1126"/>
      <c r="Z403" s="1126"/>
      <c r="AA403" s="1126"/>
      <c r="AB403" s="1126"/>
    </row>
    <row r="404" ht="15.75" customHeight="1">
      <c r="B404" s="1126"/>
      <c r="C404" s="1126"/>
      <c r="D404" s="1126"/>
      <c r="E404" s="1126"/>
      <c r="F404" s="1126"/>
      <c r="G404" s="1126"/>
      <c r="H404" s="1126"/>
      <c r="I404" s="1126"/>
      <c r="J404" s="1126"/>
      <c r="K404" s="1126"/>
      <c r="L404" s="1126"/>
      <c r="M404" s="1126"/>
      <c r="N404" s="1126"/>
      <c r="O404" s="1126"/>
      <c r="P404" s="1126"/>
      <c r="Q404" s="1126"/>
      <c r="R404" s="1126"/>
      <c r="S404" s="1126"/>
      <c r="T404" s="1126"/>
      <c r="U404" s="1126"/>
      <c r="V404" s="1126"/>
      <c r="W404" s="1126"/>
      <c r="X404" s="1126"/>
      <c r="Y404" s="1126"/>
      <c r="Z404" s="1126"/>
      <c r="AA404" s="1126"/>
      <c r="AB404" s="1126"/>
    </row>
    <row r="405" ht="15.75" customHeight="1">
      <c r="B405" s="1126"/>
      <c r="C405" s="1126"/>
      <c r="D405" s="1126"/>
      <c r="E405" s="1126"/>
      <c r="F405" s="1126"/>
      <c r="G405" s="1126"/>
      <c r="H405" s="1126"/>
      <c r="I405" s="1126"/>
      <c r="J405" s="1126"/>
      <c r="K405" s="1126"/>
      <c r="L405" s="1126"/>
      <c r="M405" s="1126"/>
      <c r="N405" s="1126"/>
      <c r="O405" s="1126"/>
      <c r="P405" s="1126"/>
      <c r="Q405" s="1126"/>
      <c r="R405" s="1126"/>
      <c r="S405" s="1126"/>
      <c r="T405" s="1126"/>
      <c r="U405" s="1126"/>
      <c r="V405" s="1126"/>
      <c r="W405" s="1126"/>
      <c r="X405" s="1126"/>
      <c r="Y405" s="1126"/>
      <c r="Z405" s="1126"/>
      <c r="AA405" s="1126"/>
      <c r="AB405" s="1126"/>
    </row>
    <row r="406" ht="15.75" customHeight="1">
      <c r="B406" s="1126"/>
      <c r="C406" s="1126"/>
      <c r="D406" s="1126"/>
      <c r="E406" s="1126"/>
      <c r="F406" s="1126"/>
      <c r="G406" s="1126"/>
      <c r="H406" s="1126"/>
      <c r="I406" s="1126"/>
      <c r="J406" s="1126"/>
      <c r="K406" s="1126"/>
      <c r="L406" s="1126"/>
      <c r="M406" s="1126"/>
      <c r="N406" s="1126"/>
      <c r="O406" s="1126"/>
      <c r="P406" s="1126"/>
      <c r="Q406" s="1126"/>
      <c r="R406" s="1126"/>
      <c r="S406" s="1126"/>
      <c r="T406" s="1126"/>
      <c r="U406" s="1126"/>
      <c r="V406" s="1126"/>
      <c r="W406" s="1126"/>
      <c r="X406" s="1126"/>
      <c r="Y406" s="1126"/>
      <c r="Z406" s="1126"/>
      <c r="AA406" s="1126"/>
      <c r="AB406" s="1126"/>
    </row>
    <row r="407" ht="15.75" customHeight="1">
      <c r="B407" s="1126"/>
      <c r="C407" s="1126"/>
      <c r="D407" s="1126"/>
      <c r="E407" s="1126"/>
      <c r="F407" s="1126"/>
      <c r="G407" s="1126"/>
      <c r="H407" s="1126"/>
      <c r="I407" s="1126"/>
      <c r="J407" s="1126"/>
      <c r="K407" s="1126"/>
      <c r="L407" s="1126"/>
      <c r="M407" s="1126"/>
      <c r="N407" s="1126"/>
      <c r="O407" s="1126"/>
      <c r="P407" s="1126"/>
      <c r="Q407" s="1126"/>
      <c r="R407" s="1126"/>
      <c r="S407" s="1126"/>
      <c r="T407" s="1126"/>
      <c r="U407" s="1126"/>
      <c r="V407" s="1126"/>
      <c r="W407" s="1126"/>
      <c r="X407" s="1126"/>
      <c r="Y407" s="1126"/>
      <c r="Z407" s="1126"/>
      <c r="AA407" s="1126"/>
      <c r="AB407" s="1126"/>
    </row>
    <row r="408" ht="15.75" customHeight="1">
      <c r="B408" s="1126"/>
      <c r="C408" s="1126"/>
      <c r="D408" s="1126"/>
      <c r="E408" s="1126"/>
      <c r="F408" s="1126"/>
      <c r="G408" s="1126"/>
      <c r="H408" s="1126"/>
      <c r="I408" s="1126"/>
      <c r="J408" s="1126"/>
      <c r="K408" s="1126"/>
      <c r="L408" s="1126"/>
      <c r="M408" s="1126"/>
      <c r="N408" s="1126"/>
      <c r="O408" s="1126"/>
      <c r="P408" s="1126"/>
      <c r="Q408" s="1126"/>
      <c r="R408" s="1126"/>
      <c r="S408" s="1126"/>
      <c r="T408" s="1126"/>
      <c r="U408" s="1126"/>
      <c r="V408" s="1126"/>
      <c r="W408" s="1126"/>
      <c r="X408" s="1126"/>
      <c r="Y408" s="1126"/>
      <c r="Z408" s="1126"/>
      <c r="AA408" s="1126"/>
      <c r="AB408" s="1126"/>
    </row>
    <row r="409" ht="15.75" customHeight="1">
      <c r="B409" s="1126"/>
      <c r="C409" s="1126"/>
      <c r="D409" s="1126"/>
      <c r="E409" s="1126"/>
      <c r="F409" s="1126"/>
      <c r="G409" s="1126"/>
      <c r="H409" s="1126"/>
      <c r="I409" s="1126"/>
      <c r="J409" s="1126"/>
      <c r="K409" s="1126"/>
      <c r="L409" s="1126"/>
      <c r="M409" s="1126"/>
      <c r="N409" s="1126"/>
      <c r="O409" s="1126"/>
      <c r="P409" s="1126"/>
      <c r="Q409" s="1126"/>
      <c r="R409" s="1126"/>
      <c r="S409" s="1126"/>
      <c r="T409" s="1126"/>
      <c r="U409" s="1126"/>
      <c r="V409" s="1126"/>
      <c r="W409" s="1126"/>
      <c r="X409" s="1126"/>
      <c r="Y409" s="1126"/>
      <c r="Z409" s="1126"/>
      <c r="AA409" s="1126"/>
      <c r="AB409" s="1126"/>
    </row>
    <row r="410" ht="15.75" customHeight="1">
      <c r="B410" s="1126"/>
      <c r="C410" s="1126"/>
      <c r="D410" s="1126"/>
      <c r="E410" s="1126"/>
      <c r="F410" s="1126"/>
      <c r="G410" s="1126"/>
      <c r="H410" s="1126"/>
      <c r="I410" s="1126"/>
      <c r="J410" s="1126"/>
      <c r="K410" s="1126"/>
      <c r="L410" s="1126"/>
      <c r="M410" s="1126"/>
      <c r="N410" s="1126"/>
      <c r="O410" s="1126"/>
      <c r="P410" s="1126"/>
      <c r="Q410" s="1126"/>
      <c r="R410" s="1126"/>
      <c r="S410" s="1126"/>
      <c r="T410" s="1126"/>
      <c r="U410" s="1126"/>
      <c r="V410" s="1126"/>
      <c r="W410" s="1126"/>
      <c r="X410" s="1126"/>
      <c r="Y410" s="1126"/>
      <c r="Z410" s="1126"/>
      <c r="AA410" s="1126"/>
      <c r="AB410" s="1126"/>
    </row>
    <row r="411" ht="15.75" customHeight="1">
      <c r="B411" s="1126"/>
      <c r="C411" s="1126"/>
      <c r="D411" s="1126"/>
      <c r="E411" s="1126"/>
      <c r="F411" s="1126"/>
      <c r="G411" s="1126"/>
      <c r="H411" s="1126"/>
      <c r="I411" s="1126"/>
      <c r="J411" s="1126"/>
      <c r="K411" s="1126"/>
      <c r="L411" s="1126"/>
      <c r="M411" s="1126"/>
      <c r="N411" s="1126"/>
      <c r="O411" s="1126"/>
      <c r="P411" s="1126"/>
      <c r="Q411" s="1126"/>
      <c r="R411" s="1126"/>
      <c r="S411" s="1126"/>
      <c r="T411" s="1126"/>
      <c r="U411" s="1126"/>
      <c r="V411" s="1126"/>
      <c r="W411" s="1126"/>
      <c r="X411" s="1126"/>
      <c r="Y411" s="1126"/>
      <c r="Z411" s="1126"/>
      <c r="AA411" s="1126"/>
      <c r="AB411" s="1126"/>
    </row>
    <row r="412" ht="15.75" customHeight="1">
      <c r="B412" s="1126"/>
      <c r="C412" s="1126"/>
      <c r="D412" s="1126"/>
      <c r="E412" s="1126"/>
      <c r="F412" s="1126"/>
      <c r="G412" s="1126"/>
      <c r="H412" s="1126"/>
      <c r="I412" s="1126"/>
      <c r="J412" s="1126"/>
      <c r="K412" s="1126"/>
      <c r="L412" s="1126"/>
      <c r="M412" s="1126"/>
      <c r="N412" s="1126"/>
      <c r="O412" s="1126"/>
      <c r="P412" s="1126"/>
      <c r="Q412" s="1126"/>
      <c r="R412" s="1126"/>
      <c r="S412" s="1126"/>
      <c r="T412" s="1126"/>
      <c r="U412" s="1126"/>
      <c r="V412" s="1126"/>
      <c r="W412" s="1126"/>
      <c r="X412" s="1126"/>
      <c r="Y412" s="1126"/>
      <c r="Z412" s="1126"/>
      <c r="AA412" s="1126"/>
      <c r="AB412" s="1126"/>
    </row>
    <row r="413" ht="15.75" customHeight="1">
      <c r="B413" s="1126"/>
      <c r="C413" s="1126"/>
      <c r="D413" s="1126"/>
      <c r="E413" s="1126"/>
      <c r="F413" s="1126"/>
      <c r="G413" s="1126"/>
      <c r="H413" s="1126"/>
      <c r="I413" s="1126"/>
      <c r="J413" s="1126"/>
      <c r="K413" s="1126"/>
      <c r="L413" s="1126"/>
      <c r="M413" s="1126"/>
      <c r="N413" s="1126"/>
      <c r="O413" s="1126"/>
      <c r="P413" s="1126"/>
      <c r="Q413" s="1126"/>
      <c r="R413" s="1126"/>
      <c r="S413" s="1126"/>
      <c r="T413" s="1126"/>
      <c r="U413" s="1126"/>
      <c r="V413" s="1126"/>
      <c r="W413" s="1126"/>
      <c r="X413" s="1126"/>
      <c r="Y413" s="1126"/>
      <c r="Z413" s="1126"/>
      <c r="AA413" s="1126"/>
      <c r="AB413" s="1126"/>
    </row>
    <row r="414" ht="15.75" customHeight="1">
      <c r="B414" s="1126"/>
      <c r="C414" s="1126"/>
      <c r="D414" s="1126"/>
      <c r="E414" s="1126"/>
      <c r="F414" s="1126"/>
      <c r="G414" s="1126"/>
      <c r="H414" s="1126"/>
      <c r="I414" s="1126"/>
      <c r="J414" s="1126"/>
      <c r="K414" s="1126"/>
      <c r="L414" s="1126"/>
      <c r="M414" s="1126"/>
      <c r="N414" s="1126"/>
      <c r="O414" s="1126"/>
      <c r="P414" s="1126"/>
      <c r="Q414" s="1126"/>
      <c r="R414" s="1126"/>
      <c r="S414" s="1126"/>
      <c r="T414" s="1126"/>
      <c r="U414" s="1126"/>
      <c r="V414" s="1126"/>
      <c r="W414" s="1126"/>
      <c r="X414" s="1126"/>
      <c r="Y414" s="1126"/>
      <c r="Z414" s="1126"/>
      <c r="AA414" s="1126"/>
      <c r="AB414" s="1126"/>
    </row>
    <row r="415" ht="15.75" customHeight="1">
      <c r="B415" s="1126"/>
      <c r="C415" s="1126"/>
      <c r="D415" s="1126"/>
      <c r="E415" s="1126"/>
      <c r="F415" s="1126"/>
      <c r="G415" s="1126"/>
      <c r="H415" s="1126"/>
      <c r="I415" s="1126"/>
      <c r="J415" s="1126"/>
      <c r="K415" s="1126"/>
      <c r="L415" s="1126"/>
      <c r="M415" s="1126"/>
      <c r="N415" s="1126"/>
      <c r="O415" s="1126"/>
      <c r="P415" s="1126"/>
      <c r="Q415" s="1126"/>
      <c r="R415" s="1126"/>
      <c r="S415" s="1126"/>
      <c r="T415" s="1126"/>
      <c r="U415" s="1126"/>
      <c r="V415" s="1126"/>
      <c r="W415" s="1126"/>
      <c r="X415" s="1126"/>
      <c r="Y415" s="1126"/>
      <c r="Z415" s="1126"/>
      <c r="AA415" s="1126"/>
      <c r="AB415" s="1126"/>
    </row>
    <row r="416" ht="15.75" customHeight="1">
      <c r="B416" s="1126"/>
      <c r="C416" s="1126"/>
      <c r="D416" s="1126"/>
      <c r="E416" s="1126"/>
      <c r="F416" s="1126"/>
      <c r="G416" s="1126"/>
      <c r="H416" s="1126"/>
      <c r="I416" s="1126"/>
      <c r="J416" s="1126"/>
      <c r="K416" s="1126"/>
      <c r="L416" s="1126"/>
      <c r="M416" s="1126"/>
      <c r="N416" s="1126"/>
      <c r="O416" s="1126"/>
      <c r="P416" s="1126"/>
      <c r="Q416" s="1126"/>
      <c r="R416" s="1126"/>
      <c r="S416" s="1126"/>
      <c r="T416" s="1126"/>
      <c r="U416" s="1126"/>
      <c r="V416" s="1126"/>
      <c r="W416" s="1126"/>
      <c r="X416" s="1126"/>
      <c r="Y416" s="1126"/>
      <c r="Z416" s="1126"/>
      <c r="AA416" s="1126"/>
      <c r="AB416" s="1126"/>
    </row>
    <row r="417" ht="15.75" customHeight="1">
      <c r="B417" s="1126"/>
      <c r="C417" s="1126"/>
      <c r="D417" s="1126"/>
      <c r="E417" s="1126"/>
      <c r="F417" s="1126"/>
      <c r="G417" s="1126"/>
      <c r="H417" s="1126"/>
      <c r="I417" s="1126"/>
      <c r="J417" s="1126"/>
      <c r="K417" s="1126"/>
      <c r="L417" s="1126"/>
      <c r="M417" s="1126"/>
      <c r="N417" s="1126"/>
      <c r="O417" s="1126"/>
      <c r="P417" s="1126"/>
      <c r="Q417" s="1126"/>
      <c r="R417" s="1126"/>
      <c r="S417" s="1126"/>
      <c r="T417" s="1126"/>
      <c r="U417" s="1126"/>
      <c r="V417" s="1126"/>
      <c r="W417" s="1126"/>
      <c r="X417" s="1126"/>
      <c r="Y417" s="1126"/>
      <c r="Z417" s="1126"/>
      <c r="AA417" s="1126"/>
      <c r="AB417" s="1126"/>
    </row>
    <row r="418" ht="15.75" customHeight="1">
      <c r="B418" s="1126"/>
      <c r="C418" s="1126"/>
      <c r="D418" s="1126"/>
      <c r="E418" s="1126"/>
      <c r="F418" s="1126"/>
      <c r="G418" s="1126"/>
      <c r="H418" s="1126"/>
      <c r="I418" s="1126"/>
      <c r="J418" s="1126"/>
      <c r="K418" s="1126"/>
      <c r="L418" s="1126"/>
      <c r="M418" s="1126"/>
      <c r="N418" s="1126"/>
      <c r="O418" s="1126"/>
      <c r="P418" s="1126"/>
      <c r="Q418" s="1126"/>
      <c r="R418" s="1126"/>
      <c r="S418" s="1126"/>
      <c r="T418" s="1126"/>
      <c r="U418" s="1126"/>
      <c r="V418" s="1126"/>
      <c r="W418" s="1126"/>
      <c r="X418" s="1126"/>
      <c r="Y418" s="1126"/>
      <c r="Z418" s="1126"/>
      <c r="AA418" s="1126"/>
      <c r="AB418" s="1126"/>
    </row>
    <row r="419" ht="15.75" customHeight="1">
      <c r="B419" s="1126"/>
      <c r="C419" s="1126"/>
      <c r="D419" s="1126"/>
      <c r="E419" s="1126"/>
      <c r="F419" s="1126"/>
      <c r="G419" s="1126"/>
      <c r="H419" s="1126"/>
      <c r="I419" s="1126"/>
      <c r="J419" s="1126"/>
      <c r="K419" s="1126"/>
      <c r="L419" s="1126"/>
      <c r="M419" s="1126"/>
      <c r="N419" s="1126"/>
      <c r="O419" s="1126"/>
      <c r="P419" s="1126"/>
      <c r="Q419" s="1126"/>
      <c r="R419" s="1126"/>
      <c r="S419" s="1126"/>
      <c r="T419" s="1126"/>
      <c r="U419" s="1126"/>
      <c r="V419" s="1126"/>
      <c r="W419" s="1126"/>
      <c r="X419" s="1126"/>
      <c r="Y419" s="1126"/>
      <c r="Z419" s="1126"/>
      <c r="AA419" s="1126"/>
      <c r="AB419" s="1126"/>
    </row>
    <row r="420" ht="15.75" customHeight="1">
      <c r="B420" s="1126"/>
      <c r="C420" s="1126"/>
      <c r="D420" s="1126"/>
      <c r="E420" s="1126"/>
      <c r="F420" s="1126"/>
      <c r="G420" s="1126"/>
      <c r="H420" s="1126"/>
      <c r="I420" s="1126"/>
      <c r="J420" s="1126"/>
      <c r="K420" s="1126"/>
      <c r="L420" s="1126"/>
      <c r="M420" s="1126"/>
      <c r="N420" s="1126"/>
      <c r="O420" s="1126"/>
      <c r="P420" s="1126"/>
      <c r="Q420" s="1126"/>
      <c r="R420" s="1126"/>
      <c r="S420" s="1126"/>
      <c r="T420" s="1126"/>
      <c r="U420" s="1126"/>
      <c r="V420" s="1126"/>
      <c r="W420" s="1126"/>
      <c r="X420" s="1126"/>
      <c r="Y420" s="1126"/>
      <c r="Z420" s="1126"/>
      <c r="AA420" s="1126"/>
      <c r="AB420" s="1126"/>
    </row>
    <row r="421" ht="15.75" customHeight="1">
      <c r="B421" s="1126"/>
      <c r="C421" s="1126"/>
      <c r="D421" s="1126"/>
      <c r="E421" s="1126"/>
      <c r="F421" s="1126"/>
      <c r="G421" s="1126"/>
      <c r="H421" s="1126"/>
      <c r="I421" s="1126"/>
      <c r="J421" s="1126"/>
      <c r="K421" s="1126"/>
      <c r="L421" s="1126"/>
      <c r="M421" s="1126"/>
      <c r="N421" s="1126"/>
      <c r="O421" s="1126"/>
      <c r="P421" s="1126"/>
      <c r="Q421" s="1126"/>
      <c r="R421" s="1126"/>
      <c r="S421" s="1126"/>
      <c r="T421" s="1126"/>
      <c r="U421" s="1126"/>
      <c r="V421" s="1126"/>
      <c r="W421" s="1126"/>
      <c r="X421" s="1126"/>
      <c r="Y421" s="1126"/>
      <c r="Z421" s="1126"/>
      <c r="AA421" s="1126"/>
      <c r="AB421" s="1126"/>
    </row>
    <row r="422" ht="15.75" customHeight="1">
      <c r="B422" s="1126"/>
      <c r="C422" s="1126"/>
      <c r="D422" s="1126"/>
      <c r="E422" s="1126"/>
      <c r="F422" s="1126"/>
      <c r="G422" s="1126"/>
      <c r="H422" s="1126"/>
      <c r="I422" s="1126"/>
      <c r="J422" s="1126"/>
      <c r="K422" s="1126"/>
      <c r="L422" s="1126"/>
      <c r="M422" s="1126"/>
      <c r="N422" s="1126"/>
      <c r="O422" s="1126"/>
      <c r="P422" s="1126"/>
      <c r="Q422" s="1126"/>
      <c r="R422" s="1126"/>
      <c r="S422" s="1126"/>
      <c r="T422" s="1126"/>
      <c r="U422" s="1126"/>
      <c r="V422" s="1126"/>
      <c r="W422" s="1126"/>
      <c r="X422" s="1126"/>
      <c r="Y422" s="1126"/>
      <c r="Z422" s="1126"/>
      <c r="AA422" s="1126"/>
      <c r="AB422" s="1126"/>
    </row>
    <row r="423" ht="15.75" customHeight="1">
      <c r="B423" s="1126"/>
      <c r="C423" s="1126"/>
      <c r="D423" s="1126"/>
      <c r="E423" s="1126"/>
      <c r="F423" s="1126"/>
      <c r="G423" s="1126"/>
      <c r="H423" s="1126"/>
      <c r="I423" s="1126"/>
      <c r="J423" s="1126"/>
      <c r="K423" s="1126"/>
      <c r="L423" s="1126"/>
      <c r="M423" s="1126"/>
      <c r="N423" s="1126"/>
      <c r="O423" s="1126"/>
      <c r="P423" s="1126"/>
      <c r="Q423" s="1126"/>
      <c r="R423" s="1126"/>
      <c r="S423" s="1126"/>
      <c r="T423" s="1126"/>
      <c r="U423" s="1126"/>
      <c r="V423" s="1126"/>
      <c r="W423" s="1126"/>
      <c r="X423" s="1126"/>
      <c r="Y423" s="1126"/>
      <c r="Z423" s="1126"/>
      <c r="AA423" s="1126"/>
      <c r="AB423" s="1126"/>
    </row>
    <row r="424" ht="15.75" customHeight="1">
      <c r="B424" s="1126"/>
      <c r="C424" s="1126"/>
      <c r="D424" s="1126"/>
      <c r="E424" s="1126"/>
      <c r="F424" s="1126"/>
      <c r="G424" s="1126"/>
      <c r="H424" s="1126"/>
      <c r="I424" s="1126"/>
      <c r="J424" s="1126"/>
      <c r="K424" s="1126"/>
      <c r="L424" s="1126"/>
      <c r="M424" s="1126"/>
      <c r="N424" s="1126"/>
      <c r="O424" s="1126"/>
      <c r="P424" s="1126"/>
      <c r="Q424" s="1126"/>
      <c r="R424" s="1126"/>
      <c r="S424" s="1126"/>
      <c r="T424" s="1126"/>
      <c r="U424" s="1126"/>
      <c r="V424" s="1126"/>
      <c r="W424" s="1126"/>
      <c r="X424" s="1126"/>
      <c r="Y424" s="1126"/>
      <c r="Z424" s="1126"/>
      <c r="AA424" s="1126"/>
      <c r="AB424" s="1126"/>
    </row>
    <row r="425" ht="15.75" customHeight="1">
      <c r="B425" s="1126"/>
      <c r="C425" s="1126"/>
      <c r="D425" s="1126"/>
      <c r="E425" s="1126"/>
      <c r="F425" s="1126"/>
      <c r="G425" s="1126"/>
      <c r="H425" s="1126"/>
      <c r="I425" s="1126"/>
      <c r="J425" s="1126"/>
      <c r="K425" s="1126"/>
      <c r="L425" s="1126"/>
      <c r="M425" s="1126"/>
      <c r="N425" s="1126"/>
      <c r="O425" s="1126"/>
      <c r="P425" s="1126"/>
      <c r="Q425" s="1126"/>
      <c r="R425" s="1126"/>
      <c r="S425" s="1126"/>
      <c r="T425" s="1126"/>
      <c r="U425" s="1126"/>
      <c r="V425" s="1126"/>
      <c r="W425" s="1126"/>
      <c r="X425" s="1126"/>
      <c r="Y425" s="1126"/>
      <c r="Z425" s="1126"/>
      <c r="AA425" s="1126"/>
      <c r="AB425" s="1126"/>
    </row>
    <row r="426" ht="15.75" customHeight="1">
      <c r="B426" s="1126"/>
      <c r="C426" s="1126"/>
      <c r="D426" s="1126"/>
      <c r="E426" s="1126"/>
      <c r="F426" s="1126"/>
      <c r="G426" s="1126"/>
      <c r="H426" s="1126"/>
      <c r="I426" s="1126"/>
      <c r="J426" s="1126"/>
      <c r="K426" s="1126"/>
      <c r="L426" s="1126"/>
      <c r="M426" s="1126"/>
      <c r="N426" s="1126"/>
      <c r="O426" s="1126"/>
      <c r="P426" s="1126"/>
      <c r="Q426" s="1126"/>
      <c r="R426" s="1126"/>
      <c r="S426" s="1126"/>
      <c r="T426" s="1126"/>
      <c r="U426" s="1126"/>
      <c r="V426" s="1126"/>
      <c r="W426" s="1126"/>
      <c r="X426" s="1126"/>
      <c r="Y426" s="1126"/>
      <c r="Z426" s="1126"/>
      <c r="AA426" s="1126"/>
      <c r="AB426" s="1126"/>
    </row>
    <row r="427" ht="15.75" customHeight="1">
      <c r="B427" s="1126"/>
      <c r="C427" s="1126"/>
      <c r="D427" s="1126"/>
      <c r="E427" s="1126"/>
      <c r="F427" s="1126"/>
      <c r="G427" s="1126"/>
      <c r="H427" s="1126"/>
      <c r="I427" s="1126"/>
      <c r="J427" s="1126"/>
      <c r="K427" s="1126"/>
      <c r="L427" s="1126"/>
      <c r="M427" s="1126"/>
      <c r="N427" s="1126"/>
      <c r="O427" s="1126"/>
      <c r="P427" s="1126"/>
      <c r="Q427" s="1126"/>
      <c r="R427" s="1126"/>
      <c r="S427" s="1126"/>
      <c r="T427" s="1126"/>
      <c r="U427" s="1126"/>
      <c r="V427" s="1126"/>
      <c r="W427" s="1126"/>
      <c r="X427" s="1126"/>
      <c r="Y427" s="1126"/>
      <c r="Z427" s="1126"/>
      <c r="AA427" s="1126"/>
      <c r="AB427" s="1126"/>
    </row>
    <row r="428" ht="15.75" customHeight="1">
      <c r="B428" s="1126"/>
      <c r="C428" s="1126"/>
      <c r="D428" s="1126"/>
      <c r="E428" s="1126"/>
      <c r="F428" s="1126"/>
      <c r="G428" s="1126"/>
      <c r="H428" s="1126"/>
      <c r="I428" s="1126"/>
      <c r="J428" s="1126"/>
      <c r="K428" s="1126"/>
      <c r="L428" s="1126"/>
      <c r="M428" s="1126"/>
      <c r="N428" s="1126"/>
      <c r="O428" s="1126"/>
      <c r="P428" s="1126"/>
      <c r="Q428" s="1126"/>
      <c r="R428" s="1126"/>
      <c r="S428" s="1126"/>
      <c r="T428" s="1126"/>
      <c r="U428" s="1126"/>
      <c r="V428" s="1126"/>
      <c r="W428" s="1126"/>
      <c r="X428" s="1126"/>
      <c r="Y428" s="1126"/>
      <c r="Z428" s="1126"/>
      <c r="AA428" s="1126"/>
      <c r="AB428" s="1126"/>
    </row>
    <row r="429" ht="15.75" customHeight="1">
      <c r="B429" s="1126"/>
      <c r="C429" s="1126"/>
      <c r="D429" s="1126"/>
      <c r="E429" s="1126"/>
      <c r="F429" s="1126"/>
      <c r="G429" s="1126"/>
      <c r="H429" s="1126"/>
      <c r="I429" s="1126"/>
      <c r="J429" s="1126"/>
      <c r="K429" s="1126"/>
      <c r="L429" s="1126"/>
      <c r="M429" s="1126"/>
      <c r="N429" s="1126"/>
      <c r="O429" s="1126"/>
      <c r="P429" s="1126"/>
      <c r="Q429" s="1126"/>
      <c r="R429" s="1126"/>
      <c r="S429" s="1126"/>
      <c r="T429" s="1126"/>
      <c r="U429" s="1126"/>
      <c r="V429" s="1126"/>
      <c r="W429" s="1126"/>
      <c r="X429" s="1126"/>
      <c r="Y429" s="1126"/>
      <c r="Z429" s="1126"/>
      <c r="AA429" s="1126"/>
      <c r="AB429" s="1126"/>
    </row>
    <row r="430" ht="15.75" customHeight="1">
      <c r="B430" s="1126"/>
      <c r="C430" s="1126"/>
      <c r="D430" s="1126"/>
      <c r="E430" s="1126"/>
      <c r="F430" s="1126"/>
      <c r="G430" s="1126"/>
      <c r="H430" s="1126"/>
      <c r="I430" s="1126"/>
      <c r="J430" s="1126"/>
      <c r="K430" s="1126"/>
      <c r="L430" s="1126"/>
      <c r="M430" s="1126"/>
      <c r="N430" s="1126"/>
      <c r="O430" s="1126"/>
      <c r="P430" s="1126"/>
      <c r="Q430" s="1126"/>
      <c r="R430" s="1126"/>
      <c r="S430" s="1126"/>
      <c r="T430" s="1126"/>
      <c r="U430" s="1126"/>
      <c r="V430" s="1126"/>
      <c r="W430" s="1126"/>
      <c r="X430" s="1126"/>
      <c r="Y430" s="1126"/>
      <c r="Z430" s="1126"/>
      <c r="AA430" s="1126"/>
      <c r="AB430" s="1126"/>
    </row>
    <row r="431" ht="15.75" customHeight="1">
      <c r="B431" s="1126"/>
      <c r="C431" s="1126"/>
      <c r="D431" s="1126"/>
      <c r="E431" s="1126"/>
      <c r="F431" s="1126"/>
      <c r="G431" s="1126"/>
      <c r="H431" s="1126"/>
      <c r="I431" s="1126"/>
      <c r="J431" s="1126"/>
      <c r="K431" s="1126"/>
      <c r="L431" s="1126"/>
      <c r="M431" s="1126"/>
      <c r="N431" s="1126"/>
      <c r="O431" s="1126"/>
      <c r="P431" s="1126"/>
      <c r="Q431" s="1126"/>
      <c r="R431" s="1126"/>
      <c r="S431" s="1126"/>
      <c r="T431" s="1126"/>
      <c r="U431" s="1126"/>
      <c r="V431" s="1126"/>
      <c r="W431" s="1126"/>
      <c r="X431" s="1126"/>
      <c r="Y431" s="1126"/>
      <c r="Z431" s="1126"/>
      <c r="AA431" s="1126"/>
      <c r="AB431" s="1126"/>
    </row>
    <row r="432" ht="15.75" customHeight="1">
      <c r="B432" s="1126"/>
      <c r="C432" s="1126"/>
      <c r="D432" s="1126"/>
      <c r="E432" s="1126"/>
      <c r="F432" s="1126"/>
      <c r="G432" s="1126"/>
      <c r="H432" s="1126"/>
      <c r="I432" s="1126"/>
      <c r="J432" s="1126"/>
      <c r="K432" s="1126"/>
      <c r="L432" s="1126"/>
      <c r="M432" s="1126"/>
      <c r="N432" s="1126"/>
      <c r="O432" s="1126"/>
      <c r="P432" s="1126"/>
      <c r="Q432" s="1126"/>
      <c r="R432" s="1126"/>
      <c r="S432" s="1126"/>
      <c r="T432" s="1126"/>
      <c r="U432" s="1126"/>
      <c r="V432" s="1126"/>
      <c r="W432" s="1126"/>
      <c r="X432" s="1126"/>
      <c r="Y432" s="1126"/>
      <c r="Z432" s="1126"/>
      <c r="AA432" s="1126"/>
      <c r="AB432" s="1126"/>
    </row>
    <row r="433" ht="15.75" customHeight="1">
      <c r="B433" s="1126"/>
      <c r="C433" s="1126"/>
      <c r="D433" s="1126"/>
      <c r="E433" s="1126"/>
      <c r="F433" s="1126"/>
      <c r="G433" s="1126"/>
      <c r="H433" s="1126"/>
      <c r="I433" s="1126"/>
      <c r="J433" s="1126"/>
      <c r="K433" s="1126"/>
      <c r="L433" s="1126"/>
      <c r="M433" s="1126"/>
      <c r="N433" s="1126"/>
      <c r="O433" s="1126"/>
      <c r="P433" s="1126"/>
      <c r="Q433" s="1126"/>
      <c r="R433" s="1126"/>
      <c r="S433" s="1126"/>
      <c r="T433" s="1126"/>
      <c r="U433" s="1126"/>
      <c r="V433" s="1126"/>
      <c r="W433" s="1126"/>
      <c r="X433" s="1126"/>
      <c r="Y433" s="1126"/>
      <c r="Z433" s="1126"/>
      <c r="AA433" s="1126"/>
      <c r="AB433" s="1126"/>
    </row>
    <row r="434" ht="15.75" customHeight="1">
      <c r="B434" s="1126"/>
      <c r="C434" s="1126"/>
      <c r="D434" s="1126"/>
      <c r="E434" s="1126"/>
      <c r="F434" s="1126"/>
      <c r="G434" s="1126"/>
      <c r="H434" s="1126"/>
      <c r="I434" s="1126"/>
      <c r="J434" s="1126"/>
      <c r="K434" s="1126"/>
      <c r="L434" s="1126"/>
      <c r="M434" s="1126"/>
      <c r="N434" s="1126"/>
      <c r="O434" s="1126"/>
      <c r="P434" s="1126"/>
      <c r="Q434" s="1126"/>
      <c r="R434" s="1126"/>
      <c r="S434" s="1126"/>
      <c r="T434" s="1126"/>
      <c r="U434" s="1126"/>
      <c r="V434" s="1126"/>
      <c r="W434" s="1126"/>
      <c r="X434" s="1126"/>
      <c r="Y434" s="1126"/>
      <c r="Z434" s="1126"/>
      <c r="AA434" s="1126"/>
      <c r="AB434" s="1126"/>
    </row>
    <row r="435" ht="15.75" customHeight="1">
      <c r="B435" s="1126"/>
      <c r="C435" s="1126"/>
      <c r="D435" s="1126"/>
      <c r="E435" s="1126"/>
      <c r="F435" s="1126"/>
      <c r="G435" s="1126"/>
      <c r="H435" s="1126"/>
      <c r="I435" s="1126"/>
      <c r="J435" s="1126"/>
      <c r="K435" s="1126"/>
      <c r="L435" s="1126"/>
      <c r="M435" s="1126"/>
      <c r="N435" s="1126"/>
      <c r="O435" s="1126"/>
      <c r="P435" s="1126"/>
      <c r="Q435" s="1126"/>
      <c r="R435" s="1126"/>
      <c r="S435" s="1126"/>
      <c r="T435" s="1126"/>
      <c r="U435" s="1126"/>
      <c r="V435" s="1126"/>
      <c r="W435" s="1126"/>
      <c r="X435" s="1126"/>
      <c r="Y435" s="1126"/>
      <c r="Z435" s="1126"/>
      <c r="AA435" s="1126"/>
      <c r="AB435" s="1126"/>
    </row>
    <row r="436" ht="15.75" customHeight="1">
      <c r="B436" s="1126"/>
      <c r="C436" s="1126"/>
      <c r="D436" s="1126"/>
      <c r="E436" s="1126"/>
      <c r="F436" s="1126"/>
      <c r="G436" s="1126"/>
      <c r="H436" s="1126"/>
      <c r="I436" s="1126"/>
      <c r="J436" s="1126"/>
      <c r="K436" s="1126"/>
      <c r="L436" s="1126"/>
      <c r="M436" s="1126"/>
      <c r="N436" s="1126"/>
      <c r="O436" s="1126"/>
      <c r="P436" s="1126"/>
      <c r="Q436" s="1126"/>
      <c r="R436" s="1126"/>
      <c r="S436" s="1126"/>
      <c r="T436" s="1126"/>
      <c r="U436" s="1126"/>
      <c r="V436" s="1126"/>
      <c r="W436" s="1126"/>
      <c r="X436" s="1126"/>
      <c r="Y436" s="1126"/>
      <c r="Z436" s="1126"/>
      <c r="AA436" s="1126"/>
      <c r="AB436" s="1126"/>
    </row>
    <row r="437" ht="15.75" customHeight="1">
      <c r="B437" s="1126"/>
      <c r="C437" s="1126"/>
      <c r="D437" s="1126"/>
      <c r="E437" s="1126"/>
      <c r="F437" s="1126"/>
      <c r="G437" s="1126"/>
      <c r="H437" s="1126"/>
      <c r="I437" s="1126"/>
      <c r="J437" s="1126"/>
      <c r="K437" s="1126"/>
      <c r="L437" s="1126"/>
      <c r="M437" s="1126"/>
      <c r="N437" s="1126"/>
      <c r="O437" s="1126"/>
      <c r="P437" s="1126"/>
      <c r="Q437" s="1126"/>
      <c r="R437" s="1126"/>
      <c r="S437" s="1126"/>
      <c r="T437" s="1126"/>
      <c r="U437" s="1126"/>
      <c r="V437" s="1126"/>
      <c r="W437" s="1126"/>
      <c r="X437" s="1126"/>
      <c r="Y437" s="1126"/>
      <c r="Z437" s="1126"/>
      <c r="AA437" s="1126"/>
      <c r="AB437" s="1126"/>
    </row>
    <row r="438" ht="15.75" customHeight="1">
      <c r="B438" s="1126"/>
      <c r="C438" s="1126"/>
      <c r="D438" s="1126"/>
      <c r="E438" s="1126"/>
      <c r="F438" s="1126"/>
      <c r="G438" s="1126"/>
      <c r="H438" s="1126"/>
      <c r="I438" s="1126"/>
      <c r="J438" s="1126"/>
      <c r="K438" s="1126"/>
      <c r="L438" s="1126"/>
      <c r="M438" s="1126"/>
      <c r="N438" s="1126"/>
      <c r="O438" s="1126"/>
      <c r="P438" s="1126"/>
      <c r="Q438" s="1126"/>
      <c r="R438" s="1126"/>
      <c r="S438" s="1126"/>
      <c r="T438" s="1126"/>
      <c r="U438" s="1126"/>
      <c r="V438" s="1126"/>
      <c r="W438" s="1126"/>
      <c r="X438" s="1126"/>
      <c r="Y438" s="1126"/>
      <c r="Z438" s="1126"/>
      <c r="AA438" s="1126"/>
      <c r="AB438" s="1126"/>
    </row>
    <row r="439" ht="15.75" customHeight="1">
      <c r="B439" s="1126"/>
      <c r="C439" s="1126"/>
      <c r="D439" s="1126"/>
      <c r="E439" s="1126"/>
      <c r="F439" s="1126"/>
      <c r="G439" s="1126"/>
      <c r="H439" s="1126"/>
      <c r="I439" s="1126"/>
      <c r="J439" s="1126"/>
      <c r="K439" s="1126"/>
      <c r="L439" s="1126"/>
      <c r="M439" s="1126"/>
      <c r="N439" s="1126"/>
      <c r="O439" s="1126"/>
      <c r="P439" s="1126"/>
      <c r="Q439" s="1126"/>
      <c r="R439" s="1126"/>
      <c r="S439" s="1126"/>
      <c r="T439" s="1126"/>
      <c r="U439" s="1126"/>
      <c r="V439" s="1126"/>
      <c r="W439" s="1126"/>
      <c r="X439" s="1126"/>
      <c r="Y439" s="1126"/>
      <c r="Z439" s="1126"/>
      <c r="AA439" s="1126"/>
      <c r="AB439" s="1126"/>
    </row>
    <row r="440" ht="15.75" customHeight="1">
      <c r="B440" s="1126"/>
      <c r="C440" s="1126"/>
      <c r="D440" s="1126"/>
      <c r="E440" s="1126"/>
      <c r="F440" s="1126"/>
      <c r="G440" s="1126"/>
      <c r="H440" s="1126"/>
      <c r="I440" s="1126"/>
      <c r="J440" s="1126"/>
      <c r="K440" s="1126"/>
      <c r="L440" s="1126"/>
      <c r="M440" s="1126"/>
      <c r="N440" s="1126"/>
      <c r="O440" s="1126"/>
      <c r="P440" s="1126"/>
      <c r="Q440" s="1126"/>
      <c r="R440" s="1126"/>
      <c r="S440" s="1126"/>
      <c r="T440" s="1126"/>
      <c r="U440" s="1126"/>
      <c r="V440" s="1126"/>
      <c r="W440" s="1126"/>
      <c r="X440" s="1126"/>
      <c r="Y440" s="1126"/>
      <c r="Z440" s="1126"/>
      <c r="AA440" s="1126"/>
      <c r="AB440" s="1126"/>
    </row>
    <row r="441" ht="15.75" customHeight="1">
      <c r="B441" s="1126"/>
      <c r="C441" s="1126"/>
      <c r="D441" s="1126"/>
      <c r="E441" s="1126"/>
      <c r="F441" s="1126"/>
      <c r="G441" s="1126"/>
      <c r="H441" s="1126"/>
      <c r="I441" s="1126"/>
      <c r="J441" s="1126"/>
      <c r="K441" s="1126"/>
      <c r="L441" s="1126"/>
      <c r="M441" s="1126"/>
      <c r="N441" s="1126"/>
      <c r="O441" s="1126"/>
      <c r="P441" s="1126"/>
      <c r="Q441" s="1126"/>
      <c r="R441" s="1126"/>
      <c r="S441" s="1126"/>
      <c r="T441" s="1126"/>
      <c r="U441" s="1126"/>
      <c r="V441" s="1126"/>
      <c r="W441" s="1126"/>
      <c r="X441" s="1126"/>
      <c r="Y441" s="1126"/>
      <c r="Z441" s="1126"/>
      <c r="AA441" s="1126"/>
      <c r="AB441" s="1126"/>
    </row>
    <row r="442" ht="15.75" customHeight="1">
      <c r="B442" s="1126"/>
      <c r="C442" s="1126"/>
      <c r="D442" s="1126"/>
      <c r="E442" s="1126"/>
      <c r="F442" s="1126"/>
      <c r="G442" s="1126"/>
      <c r="H442" s="1126"/>
      <c r="I442" s="1126"/>
      <c r="J442" s="1126"/>
      <c r="K442" s="1126"/>
      <c r="L442" s="1126"/>
      <c r="M442" s="1126"/>
      <c r="N442" s="1126"/>
      <c r="O442" s="1126"/>
      <c r="P442" s="1126"/>
      <c r="Q442" s="1126"/>
      <c r="R442" s="1126"/>
      <c r="S442" s="1126"/>
      <c r="T442" s="1126"/>
      <c r="U442" s="1126"/>
      <c r="V442" s="1126"/>
      <c r="W442" s="1126"/>
      <c r="X442" s="1126"/>
      <c r="Y442" s="1126"/>
      <c r="Z442" s="1126"/>
      <c r="AA442" s="1126"/>
      <c r="AB442" s="1126"/>
    </row>
    <row r="443" ht="15.75" customHeight="1">
      <c r="B443" s="1126"/>
      <c r="C443" s="1126"/>
      <c r="D443" s="1126"/>
      <c r="E443" s="1126"/>
      <c r="F443" s="1126"/>
      <c r="G443" s="1126"/>
      <c r="H443" s="1126"/>
      <c r="I443" s="1126"/>
      <c r="J443" s="1126"/>
      <c r="K443" s="1126"/>
      <c r="L443" s="1126"/>
      <c r="M443" s="1126"/>
      <c r="N443" s="1126"/>
      <c r="O443" s="1126"/>
      <c r="P443" s="1126"/>
      <c r="Q443" s="1126"/>
      <c r="R443" s="1126"/>
      <c r="S443" s="1126"/>
      <c r="T443" s="1126"/>
      <c r="U443" s="1126"/>
      <c r="V443" s="1126"/>
      <c r="W443" s="1126"/>
      <c r="X443" s="1126"/>
      <c r="Y443" s="1126"/>
      <c r="Z443" s="1126"/>
      <c r="AA443" s="1126"/>
      <c r="AB443" s="1126"/>
    </row>
    <row r="444" ht="15.75" customHeight="1">
      <c r="B444" s="1126"/>
      <c r="C444" s="1126"/>
      <c r="D444" s="1126"/>
      <c r="E444" s="1126"/>
      <c r="F444" s="1126"/>
      <c r="G444" s="1126"/>
      <c r="H444" s="1126"/>
      <c r="I444" s="1126"/>
      <c r="J444" s="1126"/>
      <c r="K444" s="1126"/>
      <c r="L444" s="1126"/>
      <c r="M444" s="1126"/>
      <c r="N444" s="1126"/>
      <c r="O444" s="1126"/>
      <c r="P444" s="1126"/>
      <c r="Q444" s="1126"/>
      <c r="R444" s="1126"/>
      <c r="S444" s="1126"/>
      <c r="T444" s="1126"/>
      <c r="U444" s="1126"/>
      <c r="V444" s="1126"/>
      <c r="W444" s="1126"/>
      <c r="X444" s="1126"/>
      <c r="Y444" s="1126"/>
      <c r="Z444" s="1126"/>
      <c r="AA444" s="1126"/>
      <c r="AB444" s="1126"/>
    </row>
    <row r="445" ht="15.75" customHeight="1">
      <c r="B445" s="1126"/>
      <c r="C445" s="1126"/>
      <c r="D445" s="1126"/>
      <c r="E445" s="1126"/>
      <c r="F445" s="1126"/>
      <c r="G445" s="1126"/>
      <c r="H445" s="1126"/>
      <c r="I445" s="1126"/>
      <c r="J445" s="1126"/>
      <c r="K445" s="1126"/>
      <c r="L445" s="1126"/>
      <c r="M445" s="1126"/>
      <c r="N445" s="1126"/>
      <c r="O445" s="1126"/>
      <c r="P445" s="1126"/>
      <c r="Q445" s="1126"/>
      <c r="R445" s="1126"/>
      <c r="S445" s="1126"/>
      <c r="T445" s="1126"/>
      <c r="U445" s="1126"/>
      <c r="V445" s="1126"/>
      <c r="W445" s="1126"/>
      <c r="X445" s="1126"/>
      <c r="Y445" s="1126"/>
      <c r="Z445" s="1126"/>
      <c r="AA445" s="1126"/>
      <c r="AB445" s="1126"/>
    </row>
    <row r="446" ht="15.75" customHeight="1">
      <c r="B446" s="1126"/>
      <c r="C446" s="1126"/>
      <c r="D446" s="1126"/>
      <c r="E446" s="1126"/>
      <c r="F446" s="1126"/>
      <c r="G446" s="1126"/>
      <c r="H446" s="1126"/>
      <c r="I446" s="1126"/>
      <c r="J446" s="1126"/>
      <c r="K446" s="1126"/>
      <c r="L446" s="1126"/>
      <c r="M446" s="1126"/>
      <c r="N446" s="1126"/>
      <c r="O446" s="1126"/>
      <c r="P446" s="1126"/>
      <c r="Q446" s="1126"/>
      <c r="R446" s="1126"/>
      <c r="S446" s="1126"/>
      <c r="T446" s="1126"/>
      <c r="U446" s="1126"/>
      <c r="V446" s="1126"/>
      <c r="W446" s="1126"/>
      <c r="X446" s="1126"/>
      <c r="Y446" s="1126"/>
      <c r="Z446" s="1126"/>
      <c r="AA446" s="1126"/>
      <c r="AB446" s="1126"/>
    </row>
    <row r="447" ht="15.75" customHeight="1">
      <c r="B447" s="1126"/>
      <c r="C447" s="1126"/>
      <c r="D447" s="1126"/>
      <c r="E447" s="1126"/>
      <c r="F447" s="1126"/>
      <c r="G447" s="1126"/>
      <c r="H447" s="1126"/>
      <c r="I447" s="1126"/>
      <c r="J447" s="1126"/>
      <c r="K447" s="1126"/>
      <c r="L447" s="1126"/>
      <c r="M447" s="1126"/>
      <c r="N447" s="1126"/>
      <c r="O447" s="1126"/>
      <c r="P447" s="1126"/>
      <c r="Q447" s="1126"/>
      <c r="R447" s="1126"/>
      <c r="S447" s="1126"/>
      <c r="T447" s="1126"/>
      <c r="U447" s="1126"/>
      <c r="V447" s="1126"/>
      <c r="W447" s="1126"/>
      <c r="X447" s="1126"/>
      <c r="Y447" s="1126"/>
      <c r="Z447" s="1126"/>
      <c r="AA447" s="1126"/>
      <c r="AB447" s="1126"/>
    </row>
    <row r="448" ht="15.75" customHeight="1">
      <c r="B448" s="1126"/>
      <c r="C448" s="1126"/>
      <c r="D448" s="1126"/>
      <c r="E448" s="1126"/>
      <c r="F448" s="1126"/>
      <c r="G448" s="1126"/>
      <c r="H448" s="1126"/>
      <c r="I448" s="1126"/>
      <c r="J448" s="1126"/>
      <c r="K448" s="1126"/>
      <c r="L448" s="1126"/>
      <c r="M448" s="1126"/>
      <c r="N448" s="1126"/>
      <c r="O448" s="1126"/>
      <c r="P448" s="1126"/>
      <c r="Q448" s="1126"/>
      <c r="R448" s="1126"/>
      <c r="S448" s="1126"/>
      <c r="T448" s="1126"/>
      <c r="U448" s="1126"/>
      <c r="V448" s="1126"/>
      <c r="W448" s="1126"/>
      <c r="X448" s="1126"/>
      <c r="Y448" s="1126"/>
      <c r="Z448" s="1126"/>
      <c r="AA448" s="1126"/>
      <c r="AB448" s="1126"/>
    </row>
    <row r="449" ht="15.75" customHeight="1">
      <c r="B449" s="1126"/>
      <c r="C449" s="1126"/>
      <c r="D449" s="1126"/>
      <c r="E449" s="1126"/>
      <c r="F449" s="1126"/>
      <c r="G449" s="1126"/>
      <c r="H449" s="1126"/>
      <c r="I449" s="1126"/>
      <c r="J449" s="1126"/>
      <c r="K449" s="1126"/>
      <c r="L449" s="1126"/>
      <c r="M449" s="1126"/>
      <c r="N449" s="1126"/>
      <c r="O449" s="1126"/>
      <c r="P449" s="1126"/>
      <c r="Q449" s="1126"/>
      <c r="R449" s="1126"/>
      <c r="S449" s="1126"/>
      <c r="T449" s="1126"/>
      <c r="U449" s="1126"/>
      <c r="V449" s="1126"/>
      <c r="W449" s="1126"/>
      <c r="X449" s="1126"/>
      <c r="Y449" s="1126"/>
      <c r="Z449" s="1126"/>
      <c r="AA449" s="1126"/>
      <c r="AB449" s="1126"/>
    </row>
    <row r="450" ht="15.75" customHeight="1">
      <c r="B450" s="1126"/>
      <c r="C450" s="1126"/>
      <c r="D450" s="1126"/>
      <c r="E450" s="1126"/>
      <c r="F450" s="1126"/>
      <c r="G450" s="1126"/>
      <c r="H450" s="1126"/>
      <c r="I450" s="1126"/>
      <c r="J450" s="1126"/>
      <c r="K450" s="1126"/>
      <c r="L450" s="1126"/>
      <c r="M450" s="1126"/>
      <c r="N450" s="1126"/>
      <c r="O450" s="1126"/>
      <c r="P450" s="1126"/>
      <c r="Q450" s="1126"/>
      <c r="R450" s="1126"/>
      <c r="S450" s="1126"/>
      <c r="T450" s="1126"/>
      <c r="U450" s="1126"/>
      <c r="V450" s="1126"/>
      <c r="W450" s="1126"/>
      <c r="X450" s="1126"/>
      <c r="Y450" s="1126"/>
      <c r="Z450" s="1126"/>
      <c r="AA450" s="1126"/>
      <c r="AB450" s="1126"/>
    </row>
    <row r="451" ht="15.75" customHeight="1">
      <c r="B451" s="1126"/>
      <c r="C451" s="1126"/>
      <c r="D451" s="1126"/>
      <c r="E451" s="1126"/>
      <c r="F451" s="1126"/>
      <c r="G451" s="1126"/>
      <c r="H451" s="1126"/>
      <c r="I451" s="1126"/>
      <c r="J451" s="1126"/>
      <c r="K451" s="1126"/>
      <c r="L451" s="1126"/>
      <c r="M451" s="1126"/>
      <c r="N451" s="1126"/>
      <c r="O451" s="1126"/>
      <c r="P451" s="1126"/>
      <c r="Q451" s="1126"/>
      <c r="R451" s="1126"/>
      <c r="S451" s="1126"/>
      <c r="T451" s="1126"/>
      <c r="U451" s="1126"/>
      <c r="V451" s="1126"/>
      <c r="W451" s="1126"/>
      <c r="X451" s="1126"/>
      <c r="Y451" s="1126"/>
      <c r="Z451" s="1126"/>
      <c r="AA451" s="1126"/>
      <c r="AB451" s="1126"/>
    </row>
    <row r="452" ht="15.75" customHeight="1">
      <c r="B452" s="1126"/>
      <c r="C452" s="1126"/>
      <c r="D452" s="1126"/>
      <c r="E452" s="1126"/>
      <c r="F452" s="1126"/>
      <c r="G452" s="1126"/>
      <c r="H452" s="1126"/>
      <c r="I452" s="1126"/>
      <c r="J452" s="1126"/>
      <c r="K452" s="1126"/>
      <c r="L452" s="1126"/>
      <c r="M452" s="1126"/>
      <c r="N452" s="1126"/>
      <c r="O452" s="1126"/>
      <c r="P452" s="1126"/>
      <c r="Q452" s="1126"/>
      <c r="R452" s="1126"/>
      <c r="S452" s="1126"/>
      <c r="T452" s="1126"/>
      <c r="U452" s="1126"/>
      <c r="V452" s="1126"/>
      <c r="W452" s="1126"/>
      <c r="X452" s="1126"/>
      <c r="Y452" s="1126"/>
      <c r="Z452" s="1126"/>
      <c r="AA452" s="1126"/>
      <c r="AB452" s="1126"/>
    </row>
    <row r="453" ht="15.75" customHeight="1">
      <c r="B453" s="1126"/>
      <c r="C453" s="1126"/>
      <c r="D453" s="1126"/>
      <c r="E453" s="1126"/>
      <c r="F453" s="1126"/>
      <c r="G453" s="1126"/>
      <c r="H453" s="1126"/>
      <c r="I453" s="1126"/>
      <c r="J453" s="1126"/>
      <c r="K453" s="1126"/>
      <c r="L453" s="1126"/>
      <c r="M453" s="1126"/>
      <c r="N453" s="1126"/>
      <c r="O453" s="1126"/>
      <c r="P453" s="1126"/>
      <c r="Q453" s="1126"/>
      <c r="R453" s="1126"/>
      <c r="S453" s="1126"/>
      <c r="T453" s="1126"/>
      <c r="U453" s="1126"/>
      <c r="V453" s="1126"/>
      <c r="W453" s="1126"/>
      <c r="X453" s="1126"/>
      <c r="Y453" s="1126"/>
      <c r="Z453" s="1126"/>
      <c r="AA453" s="1126"/>
      <c r="AB453" s="1126"/>
    </row>
    <row r="454" ht="15.75" customHeight="1">
      <c r="B454" s="1126"/>
      <c r="C454" s="1126"/>
      <c r="D454" s="1126"/>
      <c r="E454" s="1126"/>
      <c r="F454" s="1126"/>
      <c r="G454" s="1126"/>
      <c r="H454" s="1126"/>
      <c r="I454" s="1126"/>
      <c r="J454" s="1126"/>
      <c r="K454" s="1126"/>
      <c r="L454" s="1126"/>
      <c r="M454" s="1126"/>
      <c r="N454" s="1126"/>
      <c r="O454" s="1126"/>
      <c r="P454" s="1126"/>
      <c r="Q454" s="1126"/>
      <c r="R454" s="1126"/>
      <c r="S454" s="1126"/>
      <c r="T454" s="1126"/>
      <c r="U454" s="1126"/>
      <c r="V454" s="1126"/>
      <c r="W454" s="1126"/>
      <c r="X454" s="1126"/>
      <c r="Y454" s="1126"/>
      <c r="Z454" s="1126"/>
      <c r="AA454" s="1126"/>
      <c r="AB454" s="1126"/>
    </row>
    <row r="455" ht="15.75" customHeight="1">
      <c r="B455" s="1126"/>
      <c r="C455" s="1126"/>
      <c r="D455" s="1126"/>
      <c r="E455" s="1126"/>
      <c r="F455" s="1126"/>
      <c r="G455" s="1126"/>
      <c r="H455" s="1126"/>
      <c r="I455" s="1126"/>
      <c r="J455" s="1126"/>
      <c r="K455" s="1126"/>
      <c r="L455" s="1126"/>
      <c r="M455" s="1126"/>
      <c r="N455" s="1126"/>
      <c r="O455" s="1126"/>
      <c r="P455" s="1126"/>
      <c r="Q455" s="1126"/>
      <c r="R455" s="1126"/>
      <c r="S455" s="1126"/>
      <c r="T455" s="1126"/>
      <c r="U455" s="1126"/>
      <c r="V455" s="1126"/>
      <c r="W455" s="1126"/>
      <c r="X455" s="1126"/>
      <c r="Y455" s="1126"/>
      <c r="Z455" s="1126"/>
      <c r="AA455" s="1126"/>
      <c r="AB455" s="1126"/>
    </row>
    <row r="456" ht="15.75" customHeight="1">
      <c r="B456" s="1126"/>
      <c r="C456" s="1126"/>
      <c r="D456" s="1126"/>
      <c r="E456" s="1126"/>
      <c r="F456" s="1126"/>
      <c r="G456" s="1126"/>
      <c r="H456" s="1126"/>
      <c r="I456" s="1126"/>
      <c r="J456" s="1126"/>
      <c r="K456" s="1126"/>
      <c r="L456" s="1126"/>
      <c r="M456" s="1126"/>
      <c r="N456" s="1126"/>
      <c r="O456" s="1126"/>
      <c r="P456" s="1126"/>
      <c r="Q456" s="1126"/>
      <c r="R456" s="1126"/>
      <c r="S456" s="1126"/>
      <c r="T456" s="1126"/>
      <c r="U456" s="1126"/>
      <c r="V456" s="1126"/>
      <c r="W456" s="1126"/>
      <c r="X456" s="1126"/>
      <c r="Y456" s="1126"/>
      <c r="Z456" s="1126"/>
      <c r="AA456" s="1126"/>
      <c r="AB456" s="1126"/>
    </row>
    <row r="457" ht="15.75" customHeight="1">
      <c r="B457" s="1126"/>
      <c r="C457" s="1126"/>
      <c r="D457" s="1126"/>
      <c r="E457" s="1126"/>
      <c r="F457" s="1126"/>
      <c r="G457" s="1126"/>
      <c r="H457" s="1126"/>
      <c r="I457" s="1126"/>
      <c r="J457" s="1126"/>
      <c r="K457" s="1126"/>
      <c r="L457" s="1126"/>
      <c r="M457" s="1126"/>
      <c r="N457" s="1126"/>
      <c r="O457" s="1126"/>
      <c r="P457" s="1126"/>
      <c r="Q457" s="1126"/>
      <c r="R457" s="1126"/>
      <c r="S457" s="1126"/>
      <c r="T457" s="1126"/>
      <c r="U457" s="1126"/>
      <c r="V457" s="1126"/>
      <c r="W457" s="1126"/>
      <c r="X457" s="1126"/>
      <c r="Y457" s="1126"/>
      <c r="Z457" s="1126"/>
      <c r="AA457" s="1126"/>
      <c r="AB457" s="1126"/>
    </row>
    <row r="458" ht="15.75" customHeight="1">
      <c r="B458" s="1126"/>
      <c r="C458" s="1126"/>
      <c r="D458" s="1126"/>
      <c r="E458" s="1126"/>
      <c r="F458" s="1126"/>
      <c r="G458" s="1126"/>
      <c r="H458" s="1126"/>
      <c r="I458" s="1126"/>
      <c r="J458" s="1126"/>
      <c r="K458" s="1126"/>
      <c r="L458" s="1126"/>
      <c r="M458" s="1126"/>
      <c r="N458" s="1126"/>
      <c r="O458" s="1126"/>
      <c r="P458" s="1126"/>
      <c r="Q458" s="1126"/>
      <c r="R458" s="1126"/>
      <c r="S458" s="1126"/>
      <c r="T458" s="1126"/>
      <c r="U458" s="1126"/>
      <c r="V458" s="1126"/>
      <c r="W458" s="1126"/>
      <c r="X458" s="1126"/>
      <c r="Y458" s="1126"/>
      <c r="Z458" s="1126"/>
      <c r="AA458" s="1126"/>
      <c r="AB458" s="1126"/>
    </row>
    <row r="459" ht="15.75" customHeight="1">
      <c r="B459" s="1126"/>
      <c r="C459" s="1126"/>
      <c r="D459" s="1126"/>
      <c r="E459" s="1126"/>
      <c r="F459" s="1126"/>
      <c r="G459" s="1126"/>
      <c r="H459" s="1126"/>
      <c r="I459" s="1126"/>
      <c r="J459" s="1126"/>
      <c r="K459" s="1126"/>
      <c r="L459" s="1126"/>
      <c r="M459" s="1126"/>
      <c r="N459" s="1126"/>
      <c r="O459" s="1126"/>
      <c r="P459" s="1126"/>
      <c r="Q459" s="1126"/>
      <c r="R459" s="1126"/>
      <c r="S459" s="1126"/>
      <c r="T459" s="1126"/>
      <c r="U459" s="1126"/>
      <c r="V459" s="1126"/>
      <c r="W459" s="1126"/>
      <c r="X459" s="1126"/>
      <c r="Y459" s="1126"/>
      <c r="Z459" s="1126"/>
      <c r="AA459" s="1126"/>
      <c r="AB459" s="1126"/>
    </row>
    <row r="460" ht="15.75" customHeight="1">
      <c r="B460" s="1126"/>
      <c r="C460" s="1126"/>
      <c r="D460" s="1126"/>
      <c r="E460" s="1126"/>
      <c r="F460" s="1126"/>
      <c r="G460" s="1126"/>
      <c r="H460" s="1126"/>
      <c r="I460" s="1126"/>
      <c r="J460" s="1126"/>
      <c r="K460" s="1126"/>
      <c r="L460" s="1126"/>
      <c r="M460" s="1126"/>
      <c r="N460" s="1126"/>
      <c r="O460" s="1126"/>
      <c r="P460" s="1126"/>
      <c r="Q460" s="1126"/>
      <c r="R460" s="1126"/>
      <c r="S460" s="1126"/>
      <c r="T460" s="1126"/>
      <c r="U460" s="1126"/>
      <c r="V460" s="1126"/>
      <c r="W460" s="1126"/>
      <c r="X460" s="1126"/>
      <c r="Y460" s="1126"/>
      <c r="Z460" s="1126"/>
      <c r="AA460" s="1126"/>
      <c r="AB460" s="1126"/>
    </row>
    <row r="461" ht="15.75" customHeight="1">
      <c r="B461" s="1126"/>
      <c r="C461" s="1126"/>
      <c r="D461" s="1126"/>
      <c r="E461" s="1126"/>
      <c r="F461" s="1126"/>
      <c r="G461" s="1126"/>
      <c r="H461" s="1126"/>
      <c r="I461" s="1126"/>
      <c r="J461" s="1126"/>
      <c r="K461" s="1126"/>
      <c r="L461" s="1126"/>
      <c r="M461" s="1126"/>
      <c r="N461" s="1126"/>
      <c r="O461" s="1126"/>
      <c r="P461" s="1126"/>
      <c r="Q461" s="1126"/>
      <c r="R461" s="1126"/>
      <c r="S461" s="1126"/>
      <c r="T461" s="1126"/>
      <c r="U461" s="1126"/>
      <c r="V461" s="1126"/>
      <c r="W461" s="1126"/>
      <c r="X461" s="1126"/>
      <c r="Y461" s="1126"/>
      <c r="Z461" s="1126"/>
      <c r="AA461" s="1126"/>
      <c r="AB461" s="1126"/>
    </row>
    <row r="462" ht="15.75" customHeight="1">
      <c r="B462" s="1126"/>
      <c r="C462" s="1126"/>
      <c r="D462" s="1126"/>
      <c r="E462" s="1126"/>
      <c r="F462" s="1126"/>
      <c r="G462" s="1126"/>
      <c r="H462" s="1126"/>
      <c r="I462" s="1126"/>
      <c r="J462" s="1126"/>
      <c r="K462" s="1126"/>
      <c r="L462" s="1126"/>
      <c r="M462" s="1126"/>
      <c r="N462" s="1126"/>
      <c r="O462" s="1126"/>
      <c r="P462" s="1126"/>
      <c r="Q462" s="1126"/>
      <c r="R462" s="1126"/>
      <c r="S462" s="1126"/>
      <c r="T462" s="1126"/>
      <c r="U462" s="1126"/>
      <c r="V462" s="1126"/>
      <c r="W462" s="1126"/>
      <c r="X462" s="1126"/>
      <c r="Y462" s="1126"/>
      <c r="Z462" s="1126"/>
      <c r="AA462" s="1126"/>
      <c r="AB462" s="1126"/>
    </row>
    <row r="463" ht="15.75" customHeight="1">
      <c r="B463" s="1126"/>
      <c r="C463" s="1126"/>
      <c r="D463" s="1126"/>
      <c r="E463" s="1126"/>
      <c r="F463" s="1126"/>
      <c r="G463" s="1126"/>
      <c r="H463" s="1126"/>
      <c r="I463" s="1126"/>
      <c r="J463" s="1126"/>
      <c r="K463" s="1126"/>
      <c r="L463" s="1126"/>
      <c r="M463" s="1126"/>
      <c r="N463" s="1126"/>
      <c r="O463" s="1126"/>
      <c r="P463" s="1126"/>
      <c r="Q463" s="1126"/>
      <c r="R463" s="1126"/>
      <c r="S463" s="1126"/>
      <c r="T463" s="1126"/>
      <c r="U463" s="1126"/>
      <c r="V463" s="1126"/>
      <c r="W463" s="1126"/>
      <c r="X463" s="1126"/>
      <c r="Y463" s="1126"/>
      <c r="Z463" s="1126"/>
      <c r="AA463" s="1126"/>
      <c r="AB463" s="1126"/>
    </row>
    <row r="464" ht="15.75" customHeight="1">
      <c r="B464" s="1126"/>
      <c r="C464" s="1126"/>
      <c r="D464" s="1126"/>
      <c r="E464" s="1126"/>
      <c r="F464" s="1126"/>
      <c r="G464" s="1126"/>
      <c r="H464" s="1126"/>
      <c r="I464" s="1126"/>
      <c r="J464" s="1126"/>
      <c r="K464" s="1126"/>
      <c r="L464" s="1126"/>
      <c r="M464" s="1126"/>
      <c r="N464" s="1126"/>
      <c r="O464" s="1126"/>
      <c r="P464" s="1126"/>
      <c r="Q464" s="1126"/>
      <c r="R464" s="1126"/>
      <c r="S464" s="1126"/>
      <c r="T464" s="1126"/>
      <c r="U464" s="1126"/>
      <c r="V464" s="1126"/>
      <c r="W464" s="1126"/>
      <c r="X464" s="1126"/>
      <c r="Y464" s="1126"/>
      <c r="Z464" s="1126"/>
      <c r="AA464" s="1126"/>
      <c r="AB464" s="1126"/>
    </row>
    <row r="465" ht="15.75" customHeight="1">
      <c r="B465" s="1126"/>
      <c r="C465" s="1126"/>
      <c r="D465" s="1126"/>
      <c r="E465" s="1126"/>
      <c r="F465" s="1126"/>
      <c r="G465" s="1126"/>
      <c r="H465" s="1126"/>
      <c r="I465" s="1126"/>
      <c r="J465" s="1126"/>
      <c r="K465" s="1126"/>
      <c r="L465" s="1126"/>
      <c r="M465" s="1126"/>
      <c r="N465" s="1126"/>
      <c r="O465" s="1126"/>
      <c r="P465" s="1126"/>
      <c r="Q465" s="1126"/>
      <c r="R465" s="1126"/>
      <c r="S465" s="1126"/>
      <c r="T465" s="1126"/>
      <c r="U465" s="1126"/>
      <c r="V465" s="1126"/>
      <c r="W465" s="1126"/>
      <c r="X465" s="1126"/>
      <c r="Y465" s="1126"/>
      <c r="Z465" s="1126"/>
      <c r="AA465" s="1126"/>
      <c r="AB465" s="1126"/>
    </row>
    <row r="466" ht="15.75" customHeight="1">
      <c r="B466" s="1126"/>
      <c r="C466" s="1126"/>
      <c r="D466" s="1126"/>
      <c r="E466" s="1126"/>
      <c r="F466" s="1126"/>
      <c r="G466" s="1126"/>
      <c r="H466" s="1126"/>
      <c r="I466" s="1126"/>
      <c r="J466" s="1126"/>
      <c r="K466" s="1126"/>
      <c r="L466" s="1126"/>
      <c r="M466" s="1126"/>
      <c r="N466" s="1126"/>
      <c r="O466" s="1126"/>
      <c r="P466" s="1126"/>
      <c r="Q466" s="1126"/>
      <c r="R466" s="1126"/>
      <c r="S466" s="1126"/>
      <c r="T466" s="1126"/>
      <c r="U466" s="1126"/>
      <c r="V466" s="1126"/>
      <c r="W466" s="1126"/>
      <c r="X466" s="1126"/>
      <c r="Y466" s="1126"/>
      <c r="Z466" s="1126"/>
      <c r="AA466" s="1126"/>
      <c r="AB466" s="1126"/>
    </row>
    <row r="467" ht="15.75" customHeight="1">
      <c r="B467" s="1126"/>
      <c r="C467" s="1126"/>
      <c r="D467" s="1126"/>
      <c r="E467" s="1126"/>
      <c r="F467" s="1126"/>
      <c r="G467" s="1126"/>
      <c r="H467" s="1126"/>
      <c r="I467" s="1126"/>
      <c r="J467" s="1126"/>
      <c r="K467" s="1126"/>
      <c r="L467" s="1126"/>
      <c r="M467" s="1126"/>
      <c r="N467" s="1126"/>
      <c r="O467" s="1126"/>
      <c r="P467" s="1126"/>
      <c r="Q467" s="1126"/>
      <c r="R467" s="1126"/>
      <c r="S467" s="1126"/>
      <c r="T467" s="1126"/>
      <c r="U467" s="1126"/>
      <c r="V467" s="1126"/>
      <c r="W467" s="1126"/>
      <c r="X467" s="1126"/>
      <c r="Y467" s="1126"/>
      <c r="Z467" s="1126"/>
      <c r="AA467" s="1126"/>
      <c r="AB467" s="1126"/>
    </row>
    <row r="468" ht="15.75" customHeight="1">
      <c r="B468" s="1126"/>
      <c r="C468" s="1126"/>
      <c r="D468" s="1126"/>
      <c r="E468" s="1126"/>
      <c r="F468" s="1126"/>
      <c r="G468" s="1126"/>
      <c r="H468" s="1126"/>
      <c r="I468" s="1126"/>
      <c r="J468" s="1126"/>
      <c r="K468" s="1126"/>
      <c r="L468" s="1126"/>
      <c r="M468" s="1126"/>
      <c r="N468" s="1126"/>
      <c r="O468" s="1126"/>
      <c r="P468" s="1126"/>
      <c r="Q468" s="1126"/>
      <c r="R468" s="1126"/>
      <c r="S468" s="1126"/>
      <c r="T468" s="1126"/>
      <c r="U468" s="1126"/>
      <c r="V468" s="1126"/>
      <c r="W468" s="1126"/>
      <c r="X468" s="1126"/>
      <c r="Y468" s="1126"/>
      <c r="Z468" s="1126"/>
      <c r="AA468" s="1126"/>
      <c r="AB468" s="1126"/>
    </row>
    <row r="469" ht="15.75" customHeight="1">
      <c r="B469" s="1126"/>
      <c r="C469" s="1126"/>
      <c r="D469" s="1126"/>
      <c r="E469" s="1126"/>
      <c r="F469" s="1126"/>
      <c r="G469" s="1126"/>
      <c r="H469" s="1126"/>
      <c r="I469" s="1126"/>
      <c r="J469" s="1126"/>
      <c r="K469" s="1126"/>
      <c r="L469" s="1126"/>
      <c r="M469" s="1126"/>
      <c r="N469" s="1126"/>
      <c r="O469" s="1126"/>
      <c r="P469" s="1126"/>
      <c r="Q469" s="1126"/>
      <c r="R469" s="1126"/>
      <c r="S469" s="1126"/>
      <c r="T469" s="1126"/>
      <c r="U469" s="1126"/>
      <c r="V469" s="1126"/>
      <c r="W469" s="1126"/>
      <c r="X469" s="1126"/>
      <c r="Y469" s="1126"/>
      <c r="Z469" s="1126"/>
      <c r="AA469" s="1126"/>
      <c r="AB469" s="1126"/>
    </row>
    <row r="470" ht="15.75" customHeight="1">
      <c r="B470" s="1126"/>
      <c r="C470" s="1126"/>
      <c r="D470" s="1126"/>
      <c r="E470" s="1126"/>
      <c r="F470" s="1126"/>
      <c r="G470" s="1126"/>
      <c r="H470" s="1126"/>
      <c r="I470" s="1126"/>
      <c r="J470" s="1126"/>
      <c r="K470" s="1126"/>
      <c r="L470" s="1126"/>
      <c r="M470" s="1126"/>
      <c r="N470" s="1126"/>
      <c r="O470" s="1126"/>
      <c r="P470" s="1126"/>
      <c r="Q470" s="1126"/>
      <c r="R470" s="1126"/>
      <c r="S470" s="1126"/>
      <c r="T470" s="1126"/>
      <c r="U470" s="1126"/>
      <c r="V470" s="1126"/>
      <c r="W470" s="1126"/>
      <c r="X470" s="1126"/>
      <c r="Y470" s="1126"/>
      <c r="Z470" s="1126"/>
      <c r="AA470" s="1126"/>
      <c r="AB470" s="1126"/>
    </row>
    <row r="471" ht="15.75" customHeight="1">
      <c r="B471" s="1126"/>
      <c r="C471" s="1126"/>
      <c r="D471" s="1126"/>
      <c r="E471" s="1126"/>
      <c r="F471" s="1126"/>
      <c r="G471" s="1126"/>
      <c r="H471" s="1126"/>
      <c r="I471" s="1126"/>
      <c r="J471" s="1126"/>
      <c r="K471" s="1126"/>
      <c r="L471" s="1126"/>
      <c r="M471" s="1126"/>
      <c r="N471" s="1126"/>
      <c r="O471" s="1126"/>
      <c r="P471" s="1126"/>
      <c r="Q471" s="1126"/>
      <c r="R471" s="1126"/>
      <c r="S471" s="1126"/>
      <c r="T471" s="1126"/>
      <c r="U471" s="1126"/>
      <c r="V471" s="1126"/>
      <c r="W471" s="1126"/>
      <c r="X471" s="1126"/>
      <c r="Y471" s="1126"/>
      <c r="Z471" s="1126"/>
      <c r="AA471" s="1126"/>
      <c r="AB471" s="1126"/>
    </row>
    <row r="472" ht="15.75" customHeight="1">
      <c r="B472" s="1126"/>
      <c r="C472" s="1126"/>
      <c r="D472" s="1126"/>
      <c r="E472" s="1126"/>
      <c r="F472" s="1126"/>
      <c r="G472" s="1126"/>
      <c r="H472" s="1126"/>
      <c r="I472" s="1126"/>
      <c r="J472" s="1126"/>
      <c r="K472" s="1126"/>
      <c r="L472" s="1126"/>
      <c r="M472" s="1126"/>
      <c r="N472" s="1126"/>
      <c r="O472" s="1126"/>
      <c r="P472" s="1126"/>
      <c r="Q472" s="1126"/>
      <c r="R472" s="1126"/>
      <c r="S472" s="1126"/>
      <c r="T472" s="1126"/>
      <c r="U472" s="1126"/>
      <c r="V472" s="1126"/>
      <c r="W472" s="1126"/>
      <c r="X472" s="1126"/>
      <c r="Y472" s="1126"/>
      <c r="Z472" s="1126"/>
      <c r="AA472" s="1126"/>
      <c r="AB472" s="1126"/>
    </row>
    <row r="473" ht="15.75" customHeight="1">
      <c r="B473" s="1126"/>
      <c r="C473" s="1126"/>
      <c r="D473" s="1126"/>
      <c r="E473" s="1126"/>
      <c r="F473" s="1126"/>
      <c r="G473" s="1126"/>
      <c r="H473" s="1126"/>
      <c r="I473" s="1126"/>
      <c r="J473" s="1126"/>
      <c r="K473" s="1126"/>
      <c r="L473" s="1126"/>
      <c r="M473" s="1126"/>
      <c r="N473" s="1126"/>
      <c r="O473" s="1126"/>
      <c r="P473" s="1126"/>
      <c r="Q473" s="1126"/>
      <c r="R473" s="1126"/>
      <c r="S473" s="1126"/>
      <c r="T473" s="1126"/>
      <c r="U473" s="1126"/>
      <c r="V473" s="1126"/>
      <c r="W473" s="1126"/>
      <c r="X473" s="1126"/>
      <c r="Y473" s="1126"/>
      <c r="Z473" s="1126"/>
      <c r="AA473" s="1126"/>
      <c r="AB473" s="1126"/>
    </row>
    <row r="474" ht="15.75" customHeight="1">
      <c r="B474" s="1126"/>
      <c r="C474" s="1126"/>
      <c r="D474" s="1126"/>
      <c r="E474" s="1126"/>
      <c r="F474" s="1126"/>
      <c r="G474" s="1126"/>
      <c r="H474" s="1126"/>
      <c r="I474" s="1126"/>
      <c r="J474" s="1126"/>
      <c r="K474" s="1126"/>
      <c r="L474" s="1126"/>
      <c r="M474" s="1126"/>
      <c r="N474" s="1126"/>
      <c r="O474" s="1126"/>
      <c r="P474" s="1126"/>
      <c r="Q474" s="1126"/>
      <c r="R474" s="1126"/>
      <c r="S474" s="1126"/>
      <c r="T474" s="1126"/>
      <c r="U474" s="1126"/>
      <c r="V474" s="1126"/>
      <c r="W474" s="1126"/>
      <c r="X474" s="1126"/>
      <c r="Y474" s="1126"/>
      <c r="Z474" s="1126"/>
      <c r="AA474" s="1126"/>
      <c r="AB474" s="1126"/>
    </row>
    <row r="475" ht="15.75" customHeight="1">
      <c r="B475" s="1126"/>
      <c r="C475" s="1126"/>
      <c r="D475" s="1126"/>
      <c r="E475" s="1126"/>
      <c r="F475" s="1126"/>
      <c r="G475" s="1126"/>
      <c r="H475" s="1126"/>
      <c r="I475" s="1126"/>
      <c r="J475" s="1126"/>
      <c r="K475" s="1126"/>
      <c r="L475" s="1126"/>
      <c r="M475" s="1126"/>
      <c r="N475" s="1126"/>
      <c r="O475" s="1126"/>
      <c r="P475" s="1126"/>
      <c r="Q475" s="1126"/>
      <c r="R475" s="1126"/>
      <c r="S475" s="1126"/>
      <c r="T475" s="1126"/>
      <c r="U475" s="1126"/>
      <c r="V475" s="1126"/>
      <c r="W475" s="1126"/>
      <c r="X475" s="1126"/>
      <c r="Y475" s="1126"/>
      <c r="Z475" s="1126"/>
      <c r="AA475" s="1126"/>
      <c r="AB475" s="1126"/>
    </row>
    <row r="476" ht="15.75" customHeight="1">
      <c r="B476" s="1126"/>
      <c r="C476" s="1126"/>
      <c r="D476" s="1126"/>
      <c r="E476" s="1126"/>
      <c r="F476" s="1126"/>
      <c r="G476" s="1126"/>
      <c r="H476" s="1126"/>
      <c r="I476" s="1126"/>
      <c r="J476" s="1126"/>
      <c r="K476" s="1126"/>
      <c r="L476" s="1126"/>
      <c r="M476" s="1126"/>
      <c r="N476" s="1126"/>
      <c r="O476" s="1126"/>
      <c r="P476" s="1126"/>
      <c r="Q476" s="1126"/>
      <c r="R476" s="1126"/>
      <c r="S476" s="1126"/>
      <c r="T476" s="1126"/>
      <c r="U476" s="1126"/>
      <c r="V476" s="1126"/>
      <c r="W476" s="1126"/>
      <c r="X476" s="1126"/>
      <c r="Y476" s="1126"/>
      <c r="Z476" s="1126"/>
      <c r="AA476" s="1126"/>
      <c r="AB476" s="1126"/>
    </row>
    <row r="477" ht="15.75" customHeight="1">
      <c r="B477" s="1126"/>
      <c r="C477" s="1126"/>
      <c r="D477" s="1126"/>
      <c r="E477" s="1126"/>
      <c r="F477" s="1126"/>
      <c r="G477" s="1126"/>
      <c r="H477" s="1126"/>
      <c r="I477" s="1126"/>
      <c r="J477" s="1126"/>
      <c r="K477" s="1126"/>
      <c r="L477" s="1126"/>
      <c r="M477" s="1126"/>
      <c r="N477" s="1126"/>
      <c r="O477" s="1126"/>
      <c r="P477" s="1126"/>
      <c r="Q477" s="1126"/>
      <c r="R477" s="1126"/>
      <c r="S477" s="1126"/>
      <c r="T477" s="1126"/>
      <c r="U477" s="1126"/>
      <c r="V477" s="1126"/>
      <c r="W477" s="1126"/>
      <c r="X477" s="1126"/>
      <c r="Y477" s="1126"/>
      <c r="Z477" s="1126"/>
      <c r="AA477" s="1126"/>
      <c r="AB477" s="1126"/>
    </row>
    <row r="478" ht="15.75" customHeight="1">
      <c r="B478" s="1126"/>
      <c r="C478" s="1126"/>
      <c r="D478" s="1126"/>
      <c r="E478" s="1126"/>
      <c r="F478" s="1126"/>
      <c r="G478" s="1126"/>
      <c r="H478" s="1126"/>
      <c r="I478" s="1126"/>
      <c r="J478" s="1126"/>
      <c r="K478" s="1126"/>
      <c r="L478" s="1126"/>
      <c r="M478" s="1126"/>
      <c r="N478" s="1126"/>
      <c r="O478" s="1126"/>
      <c r="P478" s="1126"/>
      <c r="Q478" s="1126"/>
      <c r="R478" s="1126"/>
      <c r="S478" s="1126"/>
      <c r="T478" s="1126"/>
      <c r="U478" s="1126"/>
      <c r="V478" s="1126"/>
      <c r="W478" s="1126"/>
      <c r="X478" s="1126"/>
      <c r="Y478" s="1126"/>
      <c r="Z478" s="1126"/>
      <c r="AA478" s="1126"/>
      <c r="AB478" s="1126"/>
    </row>
    <row r="479" ht="15.75" customHeight="1">
      <c r="B479" s="1126"/>
      <c r="C479" s="1126"/>
      <c r="D479" s="1126"/>
      <c r="E479" s="1126"/>
      <c r="F479" s="1126"/>
      <c r="G479" s="1126"/>
      <c r="H479" s="1126"/>
      <c r="I479" s="1126"/>
      <c r="J479" s="1126"/>
      <c r="K479" s="1126"/>
      <c r="L479" s="1126"/>
      <c r="M479" s="1126"/>
      <c r="N479" s="1126"/>
      <c r="O479" s="1126"/>
      <c r="P479" s="1126"/>
      <c r="Q479" s="1126"/>
      <c r="R479" s="1126"/>
      <c r="S479" s="1126"/>
      <c r="T479" s="1126"/>
      <c r="U479" s="1126"/>
      <c r="V479" s="1126"/>
      <c r="W479" s="1126"/>
      <c r="X479" s="1126"/>
      <c r="Y479" s="1126"/>
      <c r="Z479" s="1126"/>
      <c r="AA479" s="1126"/>
      <c r="AB479" s="1126"/>
    </row>
    <row r="480" ht="15.75" customHeight="1">
      <c r="B480" s="1126"/>
      <c r="C480" s="1126"/>
      <c r="D480" s="1126"/>
      <c r="E480" s="1126"/>
      <c r="F480" s="1126"/>
      <c r="G480" s="1126"/>
      <c r="H480" s="1126"/>
      <c r="I480" s="1126"/>
      <c r="J480" s="1126"/>
      <c r="K480" s="1126"/>
      <c r="L480" s="1126"/>
      <c r="M480" s="1126"/>
      <c r="N480" s="1126"/>
      <c r="O480" s="1126"/>
      <c r="P480" s="1126"/>
      <c r="Q480" s="1126"/>
      <c r="R480" s="1126"/>
      <c r="S480" s="1126"/>
      <c r="T480" s="1126"/>
      <c r="U480" s="1126"/>
      <c r="V480" s="1126"/>
      <c r="W480" s="1126"/>
      <c r="X480" s="1126"/>
      <c r="Y480" s="1126"/>
      <c r="Z480" s="1126"/>
      <c r="AA480" s="1126"/>
      <c r="AB480" s="1126"/>
    </row>
    <row r="481" ht="15.75" customHeight="1">
      <c r="B481" s="1126"/>
      <c r="C481" s="1126"/>
      <c r="D481" s="1126"/>
      <c r="E481" s="1126"/>
      <c r="F481" s="1126"/>
      <c r="G481" s="1126"/>
      <c r="H481" s="1126"/>
      <c r="I481" s="1126"/>
      <c r="J481" s="1126"/>
      <c r="K481" s="1126"/>
      <c r="L481" s="1126"/>
      <c r="M481" s="1126"/>
      <c r="N481" s="1126"/>
      <c r="O481" s="1126"/>
      <c r="P481" s="1126"/>
      <c r="Q481" s="1126"/>
      <c r="R481" s="1126"/>
      <c r="S481" s="1126"/>
      <c r="T481" s="1126"/>
      <c r="U481" s="1126"/>
      <c r="V481" s="1126"/>
      <c r="W481" s="1126"/>
      <c r="X481" s="1126"/>
      <c r="Y481" s="1126"/>
      <c r="Z481" s="1126"/>
      <c r="AA481" s="1126"/>
      <c r="AB481" s="1126"/>
    </row>
    <row r="482" ht="15.75" customHeight="1">
      <c r="B482" s="1126"/>
      <c r="C482" s="1126"/>
      <c r="D482" s="1126"/>
      <c r="E482" s="1126"/>
      <c r="F482" s="1126"/>
      <c r="G482" s="1126"/>
      <c r="H482" s="1126"/>
      <c r="I482" s="1126"/>
      <c r="J482" s="1126"/>
      <c r="K482" s="1126"/>
      <c r="L482" s="1126"/>
      <c r="M482" s="1126"/>
      <c r="N482" s="1126"/>
      <c r="O482" s="1126"/>
      <c r="P482" s="1126"/>
      <c r="Q482" s="1126"/>
      <c r="R482" s="1126"/>
      <c r="S482" s="1126"/>
      <c r="T482" s="1126"/>
      <c r="U482" s="1126"/>
      <c r="V482" s="1126"/>
      <c r="W482" s="1126"/>
      <c r="X482" s="1126"/>
      <c r="Y482" s="1126"/>
      <c r="Z482" s="1126"/>
      <c r="AA482" s="1126"/>
      <c r="AB482" s="1126"/>
    </row>
    <row r="483" ht="15.75" customHeight="1">
      <c r="B483" s="1126"/>
      <c r="C483" s="1126"/>
      <c r="D483" s="1126"/>
      <c r="E483" s="1126"/>
      <c r="F483" s="1126"/>
      <c r="G483" s="1126"/>
      <c r="H483" s="1126"/>
      <c r="I483" s="1126"/>
      <c r="J483" s="1126"/>
      <c r="K483" s="1126"/>
      <c r="L483" s="1126"/>
      <c r="M483" s="1126"/>
      <c r="N483" s="1126"/>
      <c r="O483" s="1126"/>
      <c r="P483" s="1126"/>
      <c r="Q483" s="1126"/>
      <c r="R483" s="1126"/>
      <c r="S483" s="1126"/>
      <c r="T483" s="1126"/>
      <c r="U483" s="1126"/>
      <c r="V483" s="1126"/>
      <c r="W483" s="1126"/>
      <c r="X483" s="1126"/>
      <c r="Y483" s="1126"/>
      <c r="Z483" s="1126"/>
      <c r="AA483" s="1126"/>
      <c r="AB483" s="1126"/>
    </row>
    <row r="484" ht="15.75" customHeight="1">
      <c r="B484" s="1126"/>
      <c r="C484" s="1126"/>
      <c r="D484" s="1126"/>
      <c r="E484" s="1126"/>
      <c r="F484" s="1126"/>
      <c r="G484" s="1126"/>
      <c r="H484" s="1126"/>
      <c r="I484" s="1126"/>
      <c r="J484" s="1126"/>
      <c r="K484" s="1126"/>
      <c r="L484" s="1126"/>
      <c r="M484" s="1126"/>
      <c r="N484" s="1126"/>
      <c r="O484" s="1126"/>
      <c r="P484" s="1126"/>
      <c r="Q484" s="1126"/>
      <c r="R484" s="1126"/>
      <c r="S484" s="1126"/>
      <c r="T484" s="1126"/>
      <c r="U484" s="1126"/>
      <c r="V484" s="1126"/>
      <c r="W484" s="1126"/>
      <c r="X484" s="1126"/>
      <c r="Y484" s="1126"/>
      <c r="Z484" s="1126"/>
      <c r="AA484" s="1126"/>
      <c r="AB484" s="1126"/>
    </row>
    <row r="485" ht="15.75" customHeight="1">
      <c r="B485" s="1126"/>
      <c r="C485" s="1126"/>
      <c r="D485" s="1126"/>
      <c r="E485" s="1126"/>
      <c r="F485" s="1126"/>
      <c r="G485" s="1126"/>
      <c r="H485" s="1126"/>
      <c r="I485" s="1126"/>
      <c r="J485" s="1126"/>
      <c r="K485" s="1126"/>
      <c r="L485" s="1126"/>
      <c r="M485" s="1126"/>
      <c r="N485" s="1126"/>
      <c r="O485" s="1126"/>
      <c r="P485" s="1126"/>
      <c r="Q485" s="1126"/>
      <c r="R485" s="1126"/>
      <c r="S485" s="1126"/>
      <c r="T485" s="1126"/>
      <c r="U485" s="1126"/>
      <c r="V485" s="1126"/>
      <c r="W485" s="1126"/>
      <c r="X485" s="1126"/>
      <c r="Y485" s="1126"/>
      <c r="Z485" s="1126"/>
      <c r="AA485" s="1126"/>
      <c r="AB485" s="1126"/>
    </row>
    <row r="486" ht="15.75" customHeight="1">
      <c r="B486" s="1126"/>
      <c r="C486" s="1126"/>
      <c r="D486" s="1126"/>
      <c r="E486" s="1126"/>
      <c r="F486" s="1126"/>
      <c r="G486" s="1126"/>
      <c r="H486" s="1126"/>
      <c r="I486" s="1126"/>
      <c r="J486" s="1126"/>
      <c r="K486" s="1126"/>
      <c r="L486" s="1126"/>
      <c r="M486" s="1126"/>
      <c r="N486" s="1126"/>
      <c r="O486" s="1126"/>
      <c r="P486" s="1126"/>
      <c r="Q486" s="1126"/>
      <c r="R486" s="1126"/>
      <c r="S486" s="1126"/>
      <c r="T486" s="1126"/>
      <c r="U486" s="1126"/>
      <c r="V486" s="1126"/>
      <c r="W486" s="1126"/>
      <c r="X486" s="1126"/>
      <c r="Y486" s="1126"/>
      <c r="Z486" s="1126"/>
      <c r="AA486" s="1126"/>
      <c r="AB486" s="1126"/>
    </row>
    <row r="487" ht="15.75" customHeight="1">
      <c r="B487" s="1126"/>
      <c r="C487" s="1126"/>
      <c r="D487" s="1126"/>
      <c r="E487" s="1126"/>
      <c r="F487" s="1126"/>
      <c r="G487" s="1126"/>
      <c r="H487" s="1126"/>
      <c r="I487" s="1126"/>
      <c r="J487" s="1126"/>
      <c r="K487" s="1126"/>
      <c r="L487" s="1126"/>
      <c r="M487" s="1126"/>
      <c r="N487" s="1126"/>
      <c r="O487" s="1126"/>
      <c r="P487" s="1126"/>
      <c r="Q487" s="1126"/>
      <c r="R487" s="1126"/>
      <c r="S487" s="1126"/>
      <c r="T487" s="1126"/>
      <c r="U487" s="1126"/>
      <c r="V487" s="1126"/>
      <c r="W487" s="1126"/>
      <c r="X487" s="1126"/>
      <c r="Y487" s="1126"/>
      <c r="Z487" s="1126"/>
      <c r="AA487" s="1126"/>
      <c r="AB487" s="1126"/>
    </row>
    <row r="488" ht="15.75" customHeight="1">
      <c r="B488" s="1126"/>
      <c r="C488" s="1126"/>
      <c r="D488" s="1126"/>
      <c r="E488" s="1126"/>
      <c r="F488" s="1126"/>
      <c r="G488" s="1126"/>
      <c r="H488" s="1126"/>
      <c r="I488" s="1126"/>
      <c r="J488" s="1126"/>
      <c r="K488" s="1126"/>
      <c r="L488" s="1126"/>
      <c r="M488" s="1126"/>
      <c r="N488" s="1126"/>
      <c r="O488" s="1126"/>
      <c r="P488" s="1126"/>
      <c r="Q488" s="1126"/>
      <c r="R488" s="1126"/>
      <c r="S488" s="1126"/>
      <c r="T488" s="1126"/>
      <c r="U488" s="1126"/>
      <c r="V488" s="1126"/>
      <c r="W488" s="1126"/>
      <c r="X488" s="1126"/>
      <c r="Y488" s="1126"/>
      <c r="Z488" s="1126"/>
      <c r="AA488" s="1126"/>
      <c r="AB488" s="1126"/>
    </row>
    <row r="489" ht="15.75" customHeight="1">
      <c r="B489" s="1126"/>
      <c r="C489" s="1126"/>
      <c r="D489" s="1126"/>
      <c r="E489" s="1126"/>
      <c r="F489" s="1126"/>
      <c r="G489" s="1126"/>
      <c r="H489" s="1126"/>
      <c r="I489" s="1126"/>
      <c r="J489" s="1126"/>
      <c r="K489" s="1126"/>
      <c r="L489" s="1126"/>
      <c r="M489" s="1126"/>
      <c r="N489" s="1126"/>
      <c r="O489" s="1126"/>
      <c r="P489" s="1126"/>
      <c r="Q489" s="1126"/>
      <c r="R489" s="1126"/>
      <c r="S489" s="1126"/>
      <c r="T489" s="1126"/>
      <c r="U489" s="1126"/>
      <c r="V489" s="1126"/>
      <c r="W489" s="1126"/>
      <c r="X489" s="1126"/>
      <c r="Y489" s="1126"/>
      <c r="Z489" s="1126"/>
      <c r="AA489" s="1126"/>
      <c r="AB489" s="1126"/>
    </row>
    <row r="490" ht="15.75" customHeight="1">
      <c r="B490" s="1126"/>
      <c r="C490" s="1126"/>
      <c r="D490" s="1126"/>
      <c r="E490" s="1126"/>
      <c r="F490" s="1126"/>
      <c r="G490" s="1126"/>
      <c r="H490" s="1126"/>
      <c r="I490" s="1126"/>
      <c r="J490" s="1126"/>
      <c r="K490" s="1126"/>
      <c r="L490" s="1126"/>
      <c r="M490" s="1126"/>
      <c r="N490" s="1126"/>
      <c r="O490" s="1126"/>
      <c r="P490" s="1126"/>
      <c r="Q490" s="1126"/>
      <c r="R490" s="1126"/>
      <c r="S490" s="1126"/>
      <c r="T490" s="1126"/>
      <c r="U490" s="1126"/>
      <c r="V490" s="1126"/>
      <c r="W490" s="1126"/>
      <c r="X490" s="1126"/>
      <c r="Y490" s="1126"/>
      <c r="Z490" s="1126"/>
      <c r="AA490" s="1126"/>
      <c r="AB490" s="1126"/>
    </row>
    <row r="491" ht="15.75" customHeight="1">
      <c r="B491" s="1126"/>
      <c r="C491" s="1126"/>
      <c r="D491" s="1126"/>
      <c r="E491" s="1126"/>
      <c r="F491" s="1126"/>
      <c r="G491" s="1126"/>
      <c r="H491" s="1126"/>
      <c r="I491" s="1126"/>
      <c r="J491" s="1126"/>
      <c r="K491" s="1126"/>
      <c r="L491" s="1126"/>
      <c r="M491" s="1126"/>
      <c r="N491" s="1126"/>
      <c r="O491" s="1126"/>
      <c r="P491" s="1126"/>
      <c r="Q491" s="1126"/>
      <c r="R491" s="1126"/>
      <c r="S491" s="1126"/>
      <c r="T491" s="1126"/>
      <c r="U491" s="1126"/>
      <c r="V491" s="1126"/>
      <c r="W491" s="1126"/>
      <c r="X491" s="1126"/>
      <c r="Y491" s="1126"/>
      <c r="Z491" s="1126"/>
      <c r="AA491" s="1126"/>
      <c r="AB491" s="1126"/>
    </row>
    <row r="492" ht="15.75" customHeight="1">
      <c r="B492" s="1126"/>
      <c r="C492" s="1126"/>
      <c r="D492" s="1126"/>
      <c r="E492" s="1126"/>
      <c r="F492" s="1126"/>
      <c r="G492" s="1126"/>
      <c r="H492" s="1126"/>
      <c r="I492" s="1126"/>
      <c r="J492" s="1126"/>
      <c r="K492" s="1126"/>
      <c r="L492" s="1126"/>
      <c r="M492" s="1126"/>
      <c r="N492" s="1126"/>
      <c r="O492" s="1126"/>
      <c r="P492" s="1126"/>
      <c r="Q492" s="1126"/>
      <c r="R492" s="1126"/>
      <c r="S492" s="1126"/>
      <c r="T492" s="1126"/>
      <c r="U492" s="1126"/>
      <c r="V492" s="1126"/>
      <c r="W492" s="1126"/>
      <c r="X492" s="1126"/>
      <c r="Y492" s="1126"/>
      <c r="Z492" s="1126"/>
      <c r="AA492" s="1126"/>
      <c r="AB492" s="1126"/>
    </row>
    <row r="493" ht="15.75" customHeight="1">
      <c r="B493" s="1126"/>
      <c r="C493" s="1126"/>
      <c r="D493" s="1126"/>
      <c r="E493" s="1126"/>
      <c r="F493" s="1126"/>
      <c r="G493" s="1126"/>
      <c r="H493" s="1126"/>
      <c r="I493" s="1126"/>
      <c r="J493" s="1126"/>
      <c r="K493" s="1126"/>
      <c r="L493" s="1126"/>
      <c r="M493" s="1126"/>
      <c r="N493" s="1126"/>
      <c r="O493" s="1126"/>
      <c r="P493" s="1126"/>
      <c r="Q493" s="1126"/>
      <c r="R493" s="1126"/>
      <c r="S493" s="1126"/>
      <c r="T493" s="1126"/>
      <c r="U493" s="1126"/>
      <c r="V493" s="1126"/>
      <c r="W493" s="1126"/>
      <c r="X493" s="1126"/>
      <c r="Y493" s="1126"/>
      <c r="Z493" s="1126"/>
      <c r="AA493" s="1126"/>
      <c r="AB493" s="1126"/>
    </row>
    <row r="494" ht="15.75" customHeight="1">
      <c r="B494" s="1126"/>
      <c r="C494" s="1126"/>
      <c r="D494" s="1126"/>
      <c r="E494" s="1126"/>
      <c r="F494" s="1126"/>
      <c r="G494" s="1126"/>
      <c r="H494" s="1126"/>
      <c r="I494" s="1126"/>
      <c r="J494" s="1126"/>
      <c r="K494" s="1126"/>
      <c r="L494" s="1126"/>
      <c r="M494" s="1126"/>
      <c r="N494" s="1126"/>
      <c r="O494" s="1126"/>
      <c r="P494" s="1126"/>
      <c r="Q494" s="1126"/>
      <c r="R494" s="1126"/>
      <c r="S494" s="1126"/>
      <c r="T494" s="1126"/>
      <c r="U494" s="1126"/>
      <c r="V494" s="1126"/>
      <c r="W494" s="1126"/>
      <c r="X494" s="1126"/>
      <c r="Y494" s="1126"/>
      <c r="Z494" s="1126"/>
      <c r="AA494" s="1126"/>
      <c r="AB494" s="1126"/>
    </row>
    <row r="495" ht="15.75" customHeight="1">
      <c r="B495" s="1126"/>
      <c r="C495" s="1126"/>
      <c r="D495" s="1126"/>
      <c r="E495" s="1126"/>
      <c r="F495" s="1126"/>
      <c r="G495" s="1126"/>
      <c r="H495" s="1126"/>
      <c r="I495" s="1126"/>
      <c r="J495" s="1126"/>
      <c r="K495" s="1126"/>
      <c r="L495" s="1126"/>
      <c r="M495" s="1126"/>
      <c r="N495" s="1126"/>
      <c r="O495" s="1126"/>
      <c r="P495" s="1126"/>
      <c r="Q495" s="1126"/>
      <c r="R495" s="1126"/>
      <c r="S495" s="1126"/>
      <c r="T495" s="1126"/>
      <c r="U495" s="1126"/>
      <c r="V495" s="1126"/>
      <c r="W495" s="1126"/>
      <c r="X495" s="1126"/>
      <c r="Y495" s="1126"/>
      <c r="Z495" s="1126"/>
      <c r="AA495" s="1126"/>
      <c r="AB495" s="1126"/>
    </row>
    <row r="496" ht="15.75" customHeight="1">
      <c r="B496" s="1126"/>
      <c r="C496" s="1126"/>
      <c r="D496" s="1126"/>
      <c r="E496" s="1126"/>
      <c r="F496" s="1126"/>
      <c r="G496" s="1126"/>
      <c r="H496" s="1126"/>
      <c r="I496" s="1126"/>
      <c r="J496" s="1126"/>
      <c r="K496" s="1126"/>
      <c r="L496" s="1126"/>
      <c r="M496" s="1126"/>
      <c r="N496" s="1126"/>
      <c r="O496" s="1126"/>
      <c r="P496" s="1126"/>
      <c r="Q496" s="1126"/>
      <c r="R496" s="1126"/>
      <c r="S496" s="1126"/>
      <c r="T496" s="1126"/>
      <c r="U496" s="1126"/>
      <c r="V496" s="1126"/>
      <c r="W496" s="1126"/>
      <c r="X496" s="1126"/>
      <c r="Y496" s="1126"/>
      <c r="Z496" s="1126"/>
      <c r="AA496" s="1126"/>
      <c r="AB496" s="1126"/>
    </row>
    <row r="497" ht="15.75" customHeight="1">
      <c r="B497" s="1126"/>
      <c r="C497" s="1126"/>
      <c r="D497" s="1126"/>
      <c r="E497" s="1126"/>
      <c r="F497" s="1126"/>
      <c r="G497" s="1126"/>
      <c r="H497" s="1126"/>
      <c r="I497" s="1126"/>
      <c r="J497" s="1126"/>
      <c r="K497" s="1126"/>
      <c r="L497" s="1126"/>
      <c r="M497" s="1126"/>
      <c r="N497" s="1126"/>
      <c r="O497" s="1126"/>
      <c r="P497" s="1126"/>
      <c r="Q497" s="1126"/>
      <c r="R497" s="1126"/>
      <c r="S497" s="1126"/>
      <c r="T497" s="1126"/>
      <c r="U497" s="1126"/>
      <c r="V497" s="1126"/>
      <c r="W497" s="1126"/>
      <c r="X497" s="1126"/>
      <c r="Y497" s="1126"/>
      <c r="Z497" s="1126"/>
      <c r="AA497" s="1126"/>
      <c r="AB497" s="1126"/>
    </row>
    <row r="498" ht="15.75" customHeight="1">
      <c r="B498" s="1126"/>
      <c r="C498" s="1126"/>
      <c r="D498" s="1126"/>
      <c r="E498" s="1126"/>
      <c r="F498" s="1126"/>
      <c r="G498" s="1126"/>
      <c r="H498" s="1126"/>
      <c r="I498" s="1126"/>
      <c r="J498" s="1126"/>
      <c r="K498" s="1126"/>
      <c r="L498" s="1126"/>
      <c r="M498" s="1126"/>
      <c r="N498" s="1126"/>
      <c r="O498" s="1126"/>
      <c r="P498" s="1126"/>
      <c r="Q498" s="1126"/>
      <c r="R498" s="1126"/>
      <c r="S498" s="1126"/>
      <c r="T498" s="1126"/>
      <c r="U498" s="1126"/>
      <c r="V498" s="1126"/>
      <c r="W498" s="1126"/>
      <c r="X498" s="1126"/>
      <c r="Y498" s="1126"/>
      <c r="Z498" s="1126"/>
      <c r="AA498" s="1126"/>
      <c r="AB498" s="1126"/>
    </row>
    <row r="499" ht="15.75" customHeight="1">
      <c r="B499" s="1126"/>
      <c r="C499" s="1126"/>
      <c r="D499" s="1126"/>
      <c r="E499" s="1126"/>
      <c r="F499" s="1126"/>
      <c r="G499" s="1126"/>
      <c r="H499" s="1126"/>
      <c r="I499" s="1126"/>
      <c r="J499" s="1126"/>
      <c r="K499" s="1126"/>
      <c r="L499" s="1126"/>
      <c r="M499" s="1126"/>
      <c r="N499" s="1126"/>
      <c r="O499" s="1126"/>
      <c r="P499" s="1126"/>
      <c r="Q499" s="1126"/>
      <c r="R499" s="1126"/>
      <c r="S499" s="1126"/>
      <c r="T499" s="1126"/>
      <c r="U499" s="1126"/>
      <c r="V499" s="1126"/>
      <c r="W499" s="1126"/>
      <c r="X499" s="1126"/>
      <c r="Y499" s="1126"/>
      <c r="Z499" s="1126"/>
      <c r="AA499" s="1126"/>
      <c r="AB499" s="1126"/>
    </row>
    <row r="500" ht="15.75" customHeight="1">
      <c r="B500" s="1126"/>
      <c r="C500" s="1126"/>
      <c r="D500" s="1126"/>
      <c r="E500" s="1126"/>
      <c r="F500" s="1126"/>
      <c r="G500" s="1126"/>
      <c r="H500" s="1126"/>
      <c r="I500" s="1126"/>
      <c r="J500" s="1126"/>
      <c r="K500" s="1126"/>
      <c r="L500" s="1126"/>
      <c r="M500" s="1126"/>
      <c r="N500" s="1126"/>
      <c r="O500" s="1126"/>
      <c r="P500" s="1126"/>
      <c r="Q500" s="1126"/>
      <c r="R500" s="1126"/>
      <c r="S500" s="1126"/>
      <c r="T500" s="1126"/>
      <c r="U500" s="1126"/>
      <c r="V500" s="1126"/>
      <c r="W500" s="1126"/>
      <c r="X500" s="1126"/>
      <c r="Y500" s="1126"/>
      <c r="Z500" s="1126"/>
      <c r="AA500" s="1126"/>
      <c r="AB500" s="1126"/>
    </row>
    <row r="501" ht="15.75" customHeight="1">
      <c r="B501" s="1126"/>
      <c r="C501" s="1126"/>
      <c r="D501" s="1126"/>
      <c r="E501" s="1126"/>
      <c r="F501" s="1126"/>
      <c r="G501" s="1126"/>
      <c r="H501" s="1126"/>
      <c r="I501" s="1126"/>
      <c r="J501" s="1126"/>
      <c r="K501" s="1126"/>
      <c r="L501" s="1126"/>
      <c r="M501" s="1126"/>
      <c r="N501" s="1126"/>
      <c r="O501" s="1126"/>
      <c r="P501" s="1126"/>
      <c r="Q501" s="1126"/>
      <c r="R501" s="1126"/>
      <c r="S501" s="1126"/>
      <c r="T501" s="1126"/>
      <c r="U501" s="1126"/>
      <c r="V501" s="1126"/>
      <c r="W501" s="1126"/>
      <c r="X501" s="1126"/>
      <c r="Y501" s="1126"/>
      <c r="Z501" s="1126"/>
      <c r="AA501" s="1126"/>
      <c r="AB501" s="1126"/>
    </row>
    <row r="502" ht="15.75" customHeight="1">
      <c r="B502" s="1126"/>
      <c r="C502" s="1126"/>
      <c r="D502" s="1126"/>
      <c r="E502" s="1126"/>
      <c r="F502" s="1126"/>
      <c r="G502" s="1126"/>
      <c r="H502" s="1126"/>
      <c r="I502" s="1126"/>
      <c r="J502" s="1126"/>
      <c r="K502" s="1126"/>
      <c r="L502" s="1126"/>
      <c r="M502" s="1126"/>
      <c r="N502" s="1126"/>
      <c r="O502" s="1126"/>
      <c r="P502" s="1126"/>
      <c r="Q502" s="1126"/>
      <c r="R502" s="1126"/>
      <c r="S502" s="1126"/>
      <c r="T502" s="1126"/>
      <c r="U502" s="1126"/>
      <c r="V502" s="1126"/>
      <c r="W502" s="1126"/>
      <c r="X502" s="1126"/>
      <c r="Y502" s="1126"/>
      <c r="Z502" s="1126"/>
      <c r="AA502" s="1126"/>
      <c r="AB502" s="1126"/>
    </row>
    <row r="503" ht="15.75" customHeight="1">
      <c r="B503" s="1126"/>
      <c r="C503" s="1126"/>
      <c r="D503" s="1126"/>
      <c r="E503" s="1126"/>
      <c r="F503" s="1126"/>
      <c r="G503" s="1126"/>
      <c r="H503" s="1126"/>
      <c r="I503" s="1126"/>
      <c r="J503" s="1126"/>
      <c r="K503" s="1126"/>
      <c r="L503" s="1126"/>
      <c r="M503" s="1126"/>
      <c r="N503" s="1126"/>
      <c r="O503" s="1126"/>
      <c r="P503" s="1126"/>
      <c r="Q503" s="1126"/>
      <c r="R503" s="1126"/>
      <c r="S503" s="1126"/>
      <c r="T503" s="1126"/>
      <c r="U503" s="1126"/>
      <c r="V503" s="1126"/>
      <c r="W503" s="1126"/>
      <c r="X503" s="1126"/>
      <c r="Y503" s="1126"/>
      <c r="Z503" s="1126"/>
      <c r="AA503" s="1126"/>
      <c r="AB503" s="1126"/>
    </row>
    <row r="504" ht="15.75" customHeight="1">
      <c r="B504" s="1126"/>
      <c r="C504" s="1126"/>
      <c r="D504" s="1126"/>
      <c r="E504" s="1126"/>
      <c r="F504" s="1126"/>
      <c r="G504" s="1126"/>
      <c r="H504" s="1126"/>
      <c r="I504" s="1126"/>
      <c r="J504" s="1126"/>
      <c r="K504" s="1126"/>
      <c r="L504" s="1126"/>
      <c r="M504" s="1126"/>
      <c r="N504" s="1126"/>
      <c r="O504" s="1126"/>
      <c r="P504" s="1126"/>
      <c r="Q504" s="1126"/>
      <c r="R504" s="1126"/>
      <c r="S504" s="1126"/>
      <c r="T504" s="1126"/>
      <c r="U504" s="1126"/>
      <c r="V504" s="1126"/>
      <c r="W504" s="1126"/>
      <c r="X504" s="1126"/>
      <c r="Y504" s="1126"/>
      <c r="Z504" s="1126"/>
      <c r="AA504" s="1126"/>
      <c r="AB504" s="1126"/>
    </row>
    <row r="505" ht="15.75" customHeight="1">
      <c r="B505" s="1126"/>
      <c r="C505" s="1126"/>
      <c r="D505" s="1126"/>
      <c r="E505" s="1126"/>
      <c r="F505" s="1126"/>
      <c r="G505" s="1126"/>
      <c r="H505" s="1126"/>
      <c r="I505" s="1126"/>
      <c r="J505" s="1126"/>
      <c r="K505" s="1126"/>
      <c r="L505" s="1126"/>
      <c r="M505" s="1126"/>
      <c r="N505" s="1126"/>
      <c r="O505" s="1126"/>
      <c r="P505" s="1126"/>
      <c r="Q505" s="1126"/>
      <c r="R505" s="1126"/>
      <c r="S505" s="1126"/>
      <c r="T505" s="1126"/>
      <c r="U505" s="1126"/>
      <c r="V505" s="1126"/>
      <c r="W505" s="1126"/>
      <c r="X505" s="1126"/>
      <c r="Y505" s="1126"/>
      <c r="Z505" s="1126"/>
      <c r="AA505" s="1126"/>
      <c r="AB505" s="1126"/>
    </row>
    <row r="506" ht="15.75" customHeight="1">
      <c r="B506" s="1126"/>
      <c r="C506" s="1126"/>
      <c r="D506" s="1126"/>
      <c r="E506" s="1126"/>
      <c r="F506" s="1126"/>
      <c r="G506" s="1126"/>
      <c r="H506" s="1126"/>
      <c r="I506" s="1126"/>
      <c r="J506" s="1126"/>
      <c r="K506" s="1126"/>
      <c r="L506" s="1126"/>
      <c r="M506" s="1126"/>
      <c r="N506" s="1126"/>
      <c r="O506" s="1126"/>
      <c r="P506" s="1126"/>
      <c r="Q506" s="1126"/>
      <c r="R506" s="1126"/>
      <c r="S506" s="1126"/>
      <c r="T506" s="1126"/>
      <c r="U506" s="1126"/>
      <c r="V506" s="1126"/>
      <c r="W506" s="1126"/>
      <c r="X506" s="1126"/>
      <c r="Y506" s="1126"/>
      <c r="Z506" s="1126"/>
      <c r="AA506" s="1126"/>
      <c r="AB506" s="1126"/>
    </row>
    <row r="507" ht="15.75" customHeight="1">
      <c r="B507" s="1126"/>
      <c r="C507" s="1126"/>
      <c r="D507" s="1126"/>
      <c r="E507" s="1126"/>
      <c r="F507" s="1126"/>
      <c r="G507" s="1126"/>
      <c r="H507" s="1126"/>
      <c r="I507" s="1126"/>
      <c r="J507" s="1126"/>
      <c r="K507" s="1126"/>
      <c r="L507" s="1126"/>
      <c r="M507" s="1126"/>
      <c r="N507" s="1126"/>
      <c r="O507" s="1126"/>
      <c r="P507" s="1126"/>
      <c r="Q507" s="1126"/>
      <c r="R507" s="1126"/>
      <c r="S507" s="1126"/>
      <c r="T507" s="1126"/>
      <c r="U507" s="1126"/>
      <c r="V507" s="1126"/>
      <c r="W507" s="1126"/>
      <c r="X507" s="1126"/>
      <c r="Y507" s="1126"/>
      <c r="Z507" s="1126"/>
      <c r="AA507" s="1126"/>
      <c r="AB507" s="1126"/>
    </row>
    <row r="508" ht="15.75" customHeight="1">
      <c r="B508" s="1126"/>
      <c r="C508" s="1126"/>
      <c r="D508" s="1126"/>
      <c r="E508" s="1126"/>
      <c r="F508" s="1126"/>
      <c r="G508" s="1126"/>
      <c r="H508" s="1126"/>
      <c r="I508" s="1126"/>
      <c r="J508" s="1126"/>
      <c r="K508" s="1126"/>
      <c r="L508" s="1126"/>
      <c r="M508" s="1126"/>
      <c r="N508" s="1126"/>
      <c r="O508" s="1126"/>
      <c r="P508" s="1126"/>
      <c r="Q508" s="1126"/>
      <c r="R508" s="1126"/>
      <c r="S508" s="1126"/>
      <c r="T508" s="1126"/>
      <c r="U508" s="1126"/>
      <c r="V508" s="1126"/>
      <c r="W508" s="1126"/>
      <c r="X508" s="1126"/>
      <c r="Y508" s="1126"/>
      <c r="Z508" s="1126"/>
      <c r="AA508" s="1126"/>
      <c r="AB508" s="1126"/>
    </row>
    <row r="509" ht="15.75" customHeight="1">
      <c r="B509" s="1126"/>
      <c r="C509" s="1126"/>
      <c r="D509" s="1126"/>
      <c r="E509" s="1126"/>
      <c r="F509" s="1126"/>
      <c r="G509" s="1126"/>
      <c r="H509" s="1126"/>
      <c r="I509" s="1126"/>
      <c r="J509" s="1126"/>
      <c r="K509" s="1126"/>
      <c r="L509" s="1126"/>
      <c r="M509" s="1126"/>
      <c r="N509" s="1126"/>
      <c r="O509" s="1126"/>
      <c r="P509" s="1126"/>
      <c r="Q509" s="1126"/>
      <c r="R509" s="1126"/>
      <c r="S509" s="1126"/>
      <c r="T509" s="1126"/>
      <c r="U509" s="1126"/>
      <c r="V509" s="1126"/>
      <c r="W509" s="1126"/>
      <c r="X509" s="1126"/>
      <c r="Y509" s="1126"/>
      <c r="Z509" s="1126"/>
      <c r="AA509" s="1126"/>
      <c r="AB509" s="1126"/>
    </row>
    <row r="510" ht="15.75" customHeight="1">
      <c r="B510" s="1126"/>
      <c r="C510" s="1126"/>
      <c r="D510" s="1126"/>
      <c r="E510" s="1126"/>
      <c r="F510" s="1126"/>
      <c r="G510" s="1126"/>
      <c r="H510" s="1126"/>
      <c r="I510" s="1126"/>
      <c r="J510" s="1126"/>
      <c r="K510" s="1126"/>
      <c r="L510" s="1126"/>
      <c r="M510" s="1126"/>
      <c r="N510" s="1126"/>
      <c r="O510" s="1126"/>
      <c r="P510" s="1126"/>
      <c r="Q510" s="1126"/>
      <c r="R510" s="1126"/>
      <c r="S510" s="1126"/>
      <c r="T510" s="1126"/>
      <c r="U510" s="1126"/>
      <c r="V510" s="1126"/>
      <c r="W510" s="1126"/>
      <c r="X510" s="1126"/>
      <c r="Y510" s="1126"/>
      <c r="Z510" s="1126"/>
      <c r="AA510" s="1126"/>
      <c r="AB510" s="1126"/>
    </row>
    <row r="511" ht="15.75" customHeight="1">
      <c r="B511" s="1126"/>
      <c r="C511" s="1126"/>
      <c r="D511" s="1126"/>
      <c r="E511" s="1126"/>
      <c r="F511" s="1126"/>
      <c r="G511" s="1126"/>
      <c r="H511" s="1126"/>
      <c r="I511" s="1126"/>
      <c r="J511" s="1126"/>
      <c r="K511" s="1126"/>
      <c r="L511" s="1126"/>
      <c r="M511" s="1126"/>
      <c r="N511" s="1126"/>
      <c r="O511" s="1126"/>
      <c r="P511" s="1126"/>
      <c r="Q511" s="1126"/>
      <c r="R511" s="1126"/>
      <c r="S511" s="1126"/>
      <c r="T511" s="1126"/>
      <c r="U511" s="1126"/>
      <c r="V511" s="1126"/>
      <c r="W511" s="1126"/>
      <c r="X511" s="1126"/>
      <c r="Y511" s="1126"/>
      <c r="Z511" s="1126"/>
      <c r="AA511" s="1126"/>
      <c r="AB511" s="1126"/>
    </row>
    <row r="512" ht="15.75" customHeight="1">
      <c r="B512" s="1126"/>
      <c r="C512" s="1126"/>
      <c r="D512" s="1126"/>
      <c r="E512" s="1126"/>
      <c r="F512" s="1126"/>
      <c r="G512" s="1126"/>
      <c r="H512" s="1126"/>
      <c r="I512" s="1126"/>
      <c r="J512" s="1126"/>
      <c r="K512" s="1126"/>
      <c r="L512" s="1126"/>
      <c r="M512" s="1126"/>
      <c r="N512" s="1126"/>
      <c r="O512" s="1126"/>
      <c r="P512" s="1126"/>
      <c r="Q512" s="1126"/>
      <c r="R512" s="1126"/>
      <c r="S512" s="1126"/>
      <c r="T512" s="1126"/>
      <c r="U512" s="1126"/>
      <c r="V512" s="1126"/>
      <c r="W512" s="1126"/>
      <c r="X512" s="1126"/>
      <c r="Y512" s="1126"/>
      <c r="Z512" s="1126"/>
      <c r="AA512" s="1126"/>
      <c r="AB512" s="1126"/>
    </row>
    <row r="513" ht="15.75" customHeight="1">
      <c r="B513" s="1126"/>
      <c r="C513" s="1126"/>
      <c r="D513" s="1126"/>
      <c r="E513" s="1126"/>
      <c r="F513" s="1126"/>
      <c r="G513" s="1126"/>
      <c r="H513" s="1126"/>
      <c r="I513" s="1126"/>
      <c r="J513" s="1126"/>
      <c r="K513" s="1126"/>
      <c r="L513" s="1126"/>
      <c r="M513" s="1126"/>
      <c r="N513" s="1126"/>
      <c r="O513" s="1126"/>
      <c r="P513" s="1126"/>
      <c r="Q513" s="1126"/>
      <c r="R513" s="1126"/>
      <c r="S513" s="1126"/>
      <c r="T513" s="1126"/>
      <c r="U513" s="1126"/>
      <c r="V513" s="1126"/>
      <c r="W513" s="1126"/>
      <c r="X513" s="1126"/>
      <c r="Y513" s="1126"/>
      <c r="Z513" s="1126"/>
      <c r="AA513" s="1126"/>
      <c r="AB513" s="1126"/>
    </row>
    <row r="514" ht="15.75" customHeight="1">
      <c r="B514" s="1126"/>
      <c r="C514" s="1126"/>
      <c r="D514" s="1126"/>
      <c r="E514" s="1126"/>
      <c r="F514" s="1126"/>
      <c r="G514" s="1126"/>
      <c r="H514" s="1126"/>
      <c r="I514" s="1126"/>
      <c r="J514" s="1126"/>
      <c r="K514" s="1126"/>
      <c r="L514" s="1126"/>
      <c r="M514" s="1126"/>
      <c r="N514" s="1126"/>
      <c r="O514" s="1126"/>
      <c r="P514" s="1126"/>
      <c r="Q514" s="1126"/>
      <c r="R514" s="1126"/>
      <c r="S514" s="1126"/>
      <c r="T514" s="1126"/>
      <c r="U514" s="1126"/>
      <c r="V514" s="1126"/>
      <c r="W514" s="1126"/>
      <c r="X514" s="1126"/>
      <c r="Y514" s="1126"/>
      <c r="Z514" s="1126"/>
      <c r="AA514" s="1126"/>
      <c r="AB514" s="1126"/>
    </row>
    <row r="515" ht="15.75" customHeight="1">
      <c r="B515" s="1126"/>
      <c r="C515" s="1126"/>
      <c r="D515" s="1126"/>
      <c r="E515" s="1126"/>
      <c r="F515" s="1126"/>
      <c r="G515" s="1126"/>
      <c r="H515" s="1126"/>
      <c r="I515" s="1126"/>
      <c r="J515" s="1126"/>
      <c r="K515" s="1126"/>
      <c r="L515" s="1126"/>
      <c r="M515" s="1126"/>
      <c r="N515" s="1126"/>
      <c r="O515" s="1126"/>
      <c r="P515" s="1126"/>
      <c r="Q515" s="1126"/>
      <c r="R515" s="1126"/>
      <c r="S515" s="1126"/>
      <c r="T515" s="1126"/>
      <c r="U515" s="1126"/>
      <c r="V515" s="1126"/>
      <c r="W515" s="1126"/>
      <c r="X515" s="1126"/>
      <c r="Y515" s="1126"/>
      <c r="Z515" s="1126"/>
      <c r="AA515" s="1126"/>
      <c r="AB515" s="1126"/>
    </row>
    <row r="516" ht="15.75" customHeight="1">
      <c r="B516" s="1126"/>
      <c r="C516" s="1126"/>
      <c r="D516" s="1126"/>
      <c r="E516" s="1126"/>
      <c r="F516" s="1126"/>
      <c r="G516" s="1126"/>
      <c r="H516" s="1126"/>
      <c r="I516" s="1126"/>
      <c r="J516" s="1126"/>
      <c r="K516" s="1126"/>
      <c r="L516" s="1126"/>
      <c r="M516" s="1126"/>
      <c r="N516" s="1126"/>
      <c r="O516" s="1126"/>
      <c r="P516" s="1126"/>
      <c r="Q516" s="1126"/>
      <c r="R516" s="1126"/>
      <c r="S516" s="1126"/>
      <c r="T516" s="1126"/>
      <c r="U516" s="1126"/>
      <c r="V516" s="1126"/>
      <c r="W516" s="1126"/>
      <c r="X516" s="1126"/>
      <c r="Y516" s="1126"/>
      <c r="Z516" s="1126"/>
      <c r="AA516" s="1126"/>
      <c r="AB516" s="1126"/>
    </row>
    <row r="517" ht="15.75" customHeight="1">
      <c r="B517" s="1126"/>
      <c r="C517" s="1126"/>
      <c r="D517" s="1126"/>
      <c r="E517" s="1126"/>
      <c r="F517" s="1126"/>
      <c r="G517" s="1126"/>
      <c r="H517" s="1126"/>
      <c r="I517" s="1126"/>
      <c r="J517" s="1126"/>
      <c r="K517" s="1126"/>
      <c r="L517" s="1126"/>
      <c r="M517" s="1126"/>
      <c r="N517" s="1126"/>
      <c r="O517" s="1126"/>
      <c r="P517" s="1126"/>
      <c r="Q517" s="1126"/>
      <c r="R517" s="1126"/>
      <c r="S517" s="1126"/>
      <c r="T517" s="1126"/>
      <c r="U517" s="1126"/>
      <c r="V517" s="1126"/>
      <c r="W517" s="1126"/>
      <c r="X517" s="1126"/>
      <c r="Y517" s="1126"/>
      <c r="Z517" s="1126"/>
      <c r="AA517" s="1126"/>
      <c r="AB517" s="1126"/>
    </row>
    <row r="518" ht="15.75" customHeight="1">
      <c r="B518" s="1126"/>
      <c r="C518" s="1126"/>
      <c r="D518" s="1126"/>
      <c r="E518" s="1126"/>
      <c r="F518" s="1126"/>
      <c r="G518" s="1126"/>
      <c r="H518" s="1126"/>
      <c r="I518" s="1126"/>
      <c r="J518" s="1126"/>
      <c r="K518" s="1126"/>
      <c r="L518" s="1126"/>
      <c r="M518" s="1126"/>
      <c r="N518" s="1126"/>
      <c r="O518" s="1126"/>
      <c r="P518" s="1126"/>
      <c r="Q518" s="1126"/>
      <c r="R518" s="1126"/>
      <c r="S518" s="1126"/>
      <c r="T518" s="1126"/>
      <c r="U518" s="1126"/>
      <c r="V518" s="1126"/>
      <c r="W518" s="1126"/>
      <c r="X518" s="1126"/>
      <c r="Y518" s="1126"/>
      <c r="Z518" s="1126"/>
      <c r="AA518" s="1126"/>
      <c r="AB518" s="1126"/>
    </row>
    <row r="519" ht="15.75" customHeight="1">
      <c r="B519" s="1126"/>
      <c r="C519" s="1126"/>
      <c r="D519" s="1126"/>
      <c r="E519" s="1126"/>
      <c r="F519" s="1126"/>
      <c r="G519" s="1126"/>
      <c r="H519" s="1126"/>
      <c r="I519" s="1126"/>
      <c r="J519" s="1126"/>
      <c r="K519" s="1126"/>
      <c r="L519" s="1126"/>
      <c r="M519" s="1126"/>
      <c r="N519" s="1126"/>
      <c r="O519" s="1126"/>
      <c r="P519" s="1126"/>
      <c r="Q519" s="1126"/>
      <c r="R519" s="1126"/>
      <c r="S519" s="1126"/>
      <c r="T519" s="1126"/>
      <c r="U519" s="1126"/>
      <c r="V519" s="1126"/>
      <c r="W519" s="1126"/>
      <c r="X519" s="1126"/>
      <c r="Y519" s="1126"/>
      <c r="Z519" s="1126"/>
      <c r="AA519" s="1126"/>
      <c r="AB519" s="1126"/>
    </row>
    <row r="520" ht="15.75" customHeight="1">
      <c r="B520" s="1126"/>
      <c r="C520" s="1126"/>
      <c r="D520" s="1126"/>
      <c r="E520" s="1126"/>
      <c r="F520" s="1126"/>
      <c r="G520" s="1126"/>
      <c r="H520" s="1126"/>
      <c r="I520" s="1126"/>
      <c r="J520" s="1126"/>
      <c r="K520" s="1126"/>
      <c r="L520" s="1126"/>
      <c r="M520" s="1126"/>
      <c r="N520" s="1126"/>
      <c r="O520" s="1126"/>
      <c r="P520" s="1126"/>
      <c r="Q520" s="1126"/>
      <c r="R520" s="1126"/>
      <c r="S520" s="1126"/>
      <c r="T520" s="1126"/>
      <c r="U520" s="1126"/>
      <c r="V520" s="1126"/>
      <c r="W520" s="1126"/>
      <c r="X520" s="1126"/>
      <c r="Y520" s="1126"/>
      <c r="Z520" s="1126"/>
      <c r="AA520" s="1126"/>
      <c r="AB520" s="1126"/>
    </row>
    <row r="521" ht="15.75" customHeight="1">
      <c r="B521" s="1126"/>
      <c r="C521" s="1126"/>
      <c r="D521" s="1126"/>
      <c r="E521" s="1126"/>
      <c r="F521" s="1126"/>
      <c r="G521" s="1126"/>
      <c r="H521" s="1126"/>
      <c r="I521" s="1126"/>
      <c r="J521" s="1126"/>
      <c r="K521" s="1126"/>
      <c r="L521" s="1126"/>
      <c r="M521" s="1126"/>
      <c r="N521" s="1126"/>
      <c r="O521" s="1126"/>
      <c r="P521" s="1126"/>
      <c r="Q521" s="1126"/>
      <c r="R521" s="1126"/>
      <c r="S521" s="1126"/>
      <c r="T521" s="1126"/>
      <c r="U521" s="1126"/>
      <c r="V521" s="1126"/>
      <c r="W521" s="1126"/>
      <c r="X521" s="1126"/>
      <c r="Y521" s="1126"/>
      <c r="Z521" s="1126"/>
      <c r="AA521" s="1126"/>
      <c r="AB521" s="1126"/>
    </row>
    <row r="522" ht="15.75" customHeight="1">
      <c r="B522" s="1126"/>
      <c r="C522" s="1126"/>
      <c r="D522" s="1126"/>
      <c r="E522" s="1126"/>
      <c r="F522" s="1126"/>
      <c r="G522" s="1126"/>
      <c r="H522" s="1126"/>
      <c r="I522" s="1126"/>
      <c r="J522" s="1126"/>
      <c r="K522" s="1126"/>
      <c r="L522" s="1126"/>
      <c r="M522" s="1126"/>
      <c r="N522" s="1126"/>
      <c r="O522" s="1126"/>
      <c r="P522" s="1126"/>
      <c r="Q522" s="1126"/>
      <c r="R522" s="1126"/>
      <c r="S522" s="1126"/>
      <c r="T522" s="1126"/>
      <c r="U522" s="1126"/>
      <c r="V522" s="1126"/>
      <c r="W522" s="1126"/>
      <c r="X522" s="1126"/>
      <c r="Y522" s="1126"/>
      <c r="Z522" s="1126"/>
      <c r="AA522" s="1126"/>
      <c r="AB522" s="1126"/>
    </row>
    <row r="523" ht="15.75" customHeight="1">
      <c r="B523" s="1126"/>
      <c r="C523" s="1126"/>
      <c r="D523" s="1126"/>
      <c r="E523" s="1126"/>
      <c r="F523" s="1126"/>
      <c r="G523" s="1126"/>
      <c r="H523" s="1126"/>
      <c r="I523" s="1126"/>
      <c r="J523" s="1126"/>
      <c r="K523" s="1126"/>
      <c r="L523" s="1126"/>
      <c r="M523" s="1126"/>
      <c r="N523" s="1126"/>
      <c r="O523" s="1126"/>
      <c r="P523" s="1126"/>
      <c r="Q523" s="1126"/>
      <c r="R523" s="1126"/>
      <c r="S523" s="1126"/>
      <c r="T523" s="1126"/>
      <c r="U523" s="1126"/>
      <c r="V523" s="1126"/>
      <c r="W523" s="1126"/>
      <c r="X523" s="1126"/>
      <c r="Y523" s="1126"/>
      <c r="Z523" s="1126"/>
      <c r="AA523" s="1126"/>
      <c r="AB523" s="1126"/>
    </row>
    <row r="524" ht="15.75" customHeight="1">
      <c r="B524" s="1126"/>
      <c r="C524" s="1126"/>
      <c r="D524" s="1126"/>
      <c r="E524" s="1126"/>
      <c r="F524" s="1126"/>
      <c r="G524" s="1126"/>
      <c r="H524" s="1126"/>
      <c r="I524" s="1126"/>
      <c r="J524" s="1126"/>
      <c r="K524" s="1126"/>
      <c r="L524" s="1126"/>
      <c r="M524" s="1126"/>
      <c r="N524" s="1126"/>
      <c r="O524" s="1126"/>
      <c r="P524" s="1126"/>
      <c r="Q524" s="1126"/>
      <c r="R524" s="1126"/>
      <c r="S524" s="1126"/>
      <c r="T524" s="1126"/>
      <c r="U524" s="1126"/>
      <c r="V524" s="1126"/>
      <c r="W524" s="1126"/>
      <c r="X524" s="1126"/>
      <c r="Y524" s="1126"/>
      <c r="Z524" s="1126"/>
      <c r="AA524" s="1126"/>
      <c r="AB524" s="1126"/>
    </row>
    <row r="525" ht="15.75" customHeight="1">
      <c r="B525" s="1126"/>
      <c r="C525" s="1126"/>
      <c r="D525" s="1126"/>
      <c r="E525" s="1126"/>
      <c r="F525" s="1126"/>
      <c r="G525" s="1126"/>
      <c r="H525" s="1126"/>
      <c r="I525" s="1126"/>
      <c r="J525" s="1126"/>
      <c r="K525" s="1126"/>
      <c r="L525" s="1126"/>
      <c r="M525" s="1126"/>
      <c r="N525" s="1126"/>
      <c r="O525" s="1126"/>
      <c r="P525" s="1126"/>
      <c r="Q525" s="1126"/>
      <c r="R525" s="1126"/>
      <c r="S525" s="1126"/>
      <c r="T525" s="1126"/>
      <c r="U525" s="1126"/>
      <c r="V525" s="1126"/>
      <c r="W525" s="1126"/>
      <c r="X525" s="1126"/>
      <c r="Y525" s="1126"/>
      <c r="Z525" s="1126"/>
      <c r="AA525" s="1126"/>
      <c r="AB525" s="1126"/>
    </row>
    <row r="526" ht="15.75" customHeight="1">
      <c r="B526" s="1126"/>
      <c r="C526" s="1126"/>
      <c r="D526" s="1126"/>
      <c r="E526" s="1126"/>
      <c r="F526" s="1126"/>
      <c r="G526" s="1126"/>
      <c r="H526" s="1126"/>
      <c r="I526" s="1126"/>
      <c r="J526" s="1126"/>
      <c r="K526" s="1126"/>
      <c r="L526" s="1126"/>
      <c r="M526" s="1126"/>
      <c r="N526" s="1126"/>
      <c r="O526" s="1126"/>
      <c r="P526" s="1126"/>
      <c r="Q526" s="1126"/>
      <c r="R526" s="1126"/>
      <c r="S526" s="1126"/>
      <c r="T526" s="1126"/>
      <c r="U526" s="1126"/>
      <c r="V526" s="1126"/>
      <c r="W526" s="1126"/>
      <c r="X526" s="1126"/>
      <c r="Y526" s="1126"/>
      <c r="Z526" s="1126"/>
      <c r="AA526" s="1126"/>
      <c r="AB526" s="1126"/>
    </row>
    <row r="527" ht="15.75" customHeight="1">
      <c r="B527" s="1126"/>
      <c r="C527" s="1126"/>
      <c r="D527" s="1126"/>
      <c r="E527" s="1126"/>
      <c r="F527" s="1126"/>
      <c r="G527" s="1126"/>
      <c r="H527" s="1126"/>
      <c r="I527" s="1126"/>
      <c r="J527" s="1126"/>
      <c r="K527" s="1126"/>
      <c r="L527" s="1126"/>
      <c r="M527" s="1126"/>
      <c r="N527" s="1126"/>
      <c r="O527" s="1126"/>
      <c r="P527" s="1126"/>
      <c r="Q527" s="1126"/>
      <c r="R527" s="1126"/>
      <c r="S527" s="1126"/>
      <c r="T527" s="1126"/>
      <c r="U527" s="1126"/>
      <c r="V527" s="1126"/>
      <c r="W527" s="1126"/>
      <c r="X527" s="1126"/>
      <c r="Y527" s="1126"/>
      <c r="Z527" s="1126"/>
      <c r="AA527" s="1126"/>
      <c r="AB527" s="1126"/>
    </row>
    <row r="528" ht="15.75" customHeight="1">
      <c r="B528" s="1126"/>
      <c r="C528" s="1126"/>
      <c r="D528" s="1126"/>
      <c r="E528" s="1126"/>
      <c r="F528" s="1126"/>
      <c r="G528" s="1126"/>
      <c r="H528" s="1126"/>
      <c r="I528" s="1126"/>
      <c r="J528" s="1126"/>
      <c r="K528" s="1126"/>
      <c r="L528" s="1126"/>
      <c r="M528" s="1126"/>
      <c r="N528" s="1126"/>
      <c r="O528" s="1126"/>
      <c r="P528" s="1126"/>
      <c r="Q528" s="1126"/>
      <c r="R528" s="1126"/>
      <c r="S528" s="1126"/>
      <c r="T528" s="1126"/>
      <c r="U528" s="1126"/>
      <c r="V528" s="1126"/>
      <c r="W528" s="1126"/>
      <c r="X528" s="1126"/>
      <c r="Y528" s="1126"/>
      <c r="Z528" s="1126"/>
      <c r="AA528" s="1126"/>
      <c r="AB528" s="1126"/>
    </row>
    <row r="529" ht="15.75" customHeight="1">
      <c r="B529" s="1126"/>
      <c r="C529" s="1126"/>
      <c r="D529" s="1126"/>
      <c r="E529" s="1126"/>
      <c r="F529" s="1126"/>
      <c r="G529" s="1126"/>
      <c r="H529" s="1126"/>
      <c r="I529" s="1126"/>
      <c r="J529" s="1126"/>
      <c r="K529" s="1126"/>
      <c r="L529" s="1126"/>
      <c r="M529" s="1126"/>
      <c r="N529" s="1126"/>
      <c r="O529" s="1126"/>
      <c r="P529" s="1126"/>
      <c r="Q529" s="1126"/>
      <c r="R529" s="1126"/>
      <c r="S529" s="1126"/>
      <c r="T529" s="1126"/>
      <c r="U529" s="1126"/>
      <c r="V529" s="1126"/>
      <c r="W529" s="1126"/>
      <c r="X529" s="1126"/>
      <c r="Y529" s="1126"/>
      <c r="Z529" s="1126"/>
      <c r="AA529" s="1126"/>
      <c r="AB529" s="1126"/>
    </row>
    <row r="530" ht="15.75" customHeight="1">
      <c r="B530" s="1126"/>
      <c r="C530" s="1126"/>
      <c r="D530" s="1126"/>
      <c r="E530" s="1126"/>
      <c r="F530" s="1126"/>
      <c r="G530" s="1126"/>
      <c r="H530" s="1126"/>
      <c r="I530" s="1126"/>
      <c r="J530" s="1126"/>
      <c r="K530" s="1126"/>
      <c r="L530" s="1126"/>
      <c r="M530" s="1126"/>
      <c r="N530" s="1126"/>
      <c r="O530" s="1126"/>
      <c r="P530" s="1126"/>
      <c r="Q530" s="1126"/>
      <c r="R530" s="1126"/>
      <c r="S530" s="1126"/>
      <c r="T530" s="1126"/>
      <c r="U530" s="1126"/>
      <c r="V530" s="1126"/>
      <c r="W530" s="1126"/>
      <c r="X530" s="1126"/>
      <c r="Y530" s="1126"/>
      <c r="Z530" s="1126"/>
      <c r="AA530" s="1126"/>
      <c r="AB530" s="1126"/>
    </row>
    <row r="531" ht="15.75" customHeight="1">
      <c r="B531" s="1126"/>
      <c r="C531" s="1126"/>
      <c r="D531" s="1126"/>
      <c r="E531" s="1126"/>
      <c r="F531" s="1126"/>
      <c r="G531" s="1126"/>
      <c r="H531" s="1126"/>
      <c r="I531" s="1126"/>
      <c r="J531" s="1126"/>
      <c r="K531" s="1126"/>
      <c r="L531" s="1126"/>
      <c r="M531" s="1126"/>
      <c r="N531" s="1126"/>
      <c r="O531" s="1126"/>
      <c r="P531" s="1126"/>
      <c r="Q531" s="1126"/>
      <c r="R531" s="1126"/>
      <c r="S531" s="1126"/>
      <c r="T531" s="1126"/>
      <c r="U531" s="1126"/>
      <c r="V531" s="1126"/>
      <c r="W531" s="1126"/>
      <c r="X531" s="1126"/>
      <c r="Y531" s="1126"/>
      <c r="Z531" s="1126"/>
      <c r="AA531" s="1126"/>
      <c r="AB531" s="1126"/>
    </row>
    <row r="532" ht="15.75" customHeight="1">
      <c r="B532" s="1126"/>
      <c r="C532" s="1126"/>
      <c r="D532" s="1126"/>
      <c r="E532" s="1126"/>
      <c r="F532" s="1126"/>
      <c r="G532" s="1126"/>
      <c r="H532" s="1126"/>
      <c r="I532" s="1126"/>
      <c r="J532" s="1126"/>
      <c r="K532" s="1126"/>
      <c r="L532" s="1126"/>
      <c r="M532" s="1126"/>
      <c r="N532" s="1126"/>
      <c r="O532" s="1126"/>
      <c r="P532" s="1126"/>
      <c r="Q532" s="1126"/>
      <c r="R532" s="1126"/>
      <c r="S532" s="1126"/>
      <c r="T532" s="1126"/>
      <c r="U532" s="1126"/>
      <c r="V532" s="1126"/>
      <c r="W532" s="1126"/>
      <c r="X532" s="1126"/>
      <c r="Y532" s="1126"/>
      <c r="Z532" s="1126"/>
      <c r="AA532" s="1126"/>
      <c r="AB532" s="1126"/>
    </row>
    <row r="533" ht="15.75" customHeight="1">
      <c r="B533" s="1126"/>
      <c r="C533" s="1126"/>
      <c r="D533" s="1126"/>
      <c r="E533" s="1126"/>
      <c r="F533" s="1126"/>
      <c r="G533" s="1126"/>
      <c r="H533" s="1126"/>
      <c r="I533" s="1126"/>
      <c r="J533" s="1126"/>
      <c r="K533" s="1126"/>
      <c r="L533" s="1126"/>
      <c r="M533" s="1126"/>
      <c r="N533" s="1126"/>
      <c r="O533" s="1126"/>
      <c r="P533" s="1126"/>
      <c r="Q533" s="1126"/>
      <c r="R533" s="1126"/>
      <c r="S533" s="1126"/>
      <c r="T533" s="1126"/>
      <c r="U533" s="1126"/>
      <c r="V533" s="1126"/>
      <c r="W533" s="1126"/>
      <c r="X533" s="1126"/>
      <c r="Y533" s="1126"/>
      <c r="Z533" s="1126"/>
      <c r="AA533" s="1126"/>
      <c r="AB533" s="1126"/>
    </row>
    <row r="534" ht="15.75" customHeight="1">
      <c r="B534" s="1126"/>
      <c r="C534" s="1126"/>
      <c r="D534" s="1126"/>
      <c r="E534" s="1126"/>
      <c r="F534" s="1126"/>
      <c r="G534" s="1126"/>
      <c r="H534" s="1126"/>
      <c r="I534" s="1126"/>
      <c r="J534" s="1126"/>
      <c r="K534" s="1126"/>
      <c r="L534" s="1126"/>
      <c r="M534" s="1126"/>
      <c r="N534" s="1126"/>
      <c r="O534" s="1126"/>
      <c r="P534" s="1126"/>
      <c r="Q534" s="1126"/>
      <c r="R534" s="1126"/>
      <c r="S534" s="1126"/>
      <c r="T534" s="1126"/>
      <c r="U534" s="1126"/>
      <c r="V534" s="1126"/>
      <c r="W534" s="1126"/>
      <c r="X534" s="1126"/>
      <c r="Y534" s="1126"/>
      <c r="Z534" s="1126"/>
      <c r="AA534" s="1126"/>
      <c r="AB534" s="1126"/>
    </row>
    <row r="535" ht="15.75" customHeight="1">
      <c r="B535" s="1126"/>
      <c r="C535" s="1126"/>
      <c r="D535" s="1126"/>
      <c r="E535" s="1126"/>
      <c r="F535" s="1126"/>
      <c r="G535" s="1126"/>
      <c r="H535" s="1126"/>
      <c r="I535" s="1126"/>
      <c r="J535" s="1126"/>
      <c r="K535" s="1126"/>
      <c r="L535" s="1126"/>
      <c r="M535" s="1126"/>
      <c r="N535" s="1126"/>
      <c r="O535" s="1126"/>
      <c r="P535" s="1126"/>
      <c r="Q535" s="1126"/>
      <c r="R535" s="1126"/>
      <c r="S535" s="1126"/>
      <c r="T535" s="1126"/>
      <c r="U535" s="1126"/>
      <c r="V535" s="1126"/>
      <c r="W535" s="1126"/>
      <c r="X535" s="1126"/>
      <c r="Y535" s="1126"/>
      <c r="Z535" s="1126"/>
      <c r="AA535" s="1126"/>
      <c r="AB535" s="1126"/>
    </row>
    <row r="536" ht="15.75" customHeight="1">
      <c r="B536" s="1126"/>
      <c r="C536" s="1126"/>
      <c r="D536" s="1126"/>
      <c r="E536" s="1126"/>
      <c r="F536" s="1126"/>
      <c r="G536" s="1126"/>
      <c r="H536" s="1126"/>
      <c r="I536" s="1126"/>
      <c r="J536" s="1126"/>
      <c r="K536" s="1126"/>
      <c r="L536" s="1126"/>
      <c r="M536" s="1126"/>
      <c r="N536" s="1126"/>
      <c r="O536" s="1126"/>
      <c r="P536" s="1126"/>
      <c r="Q536" s="1126"/>
      <c r="R536" s="1126"/>
      <c r="S536" s="1126"/>
      <c r="T536" s="1126"/>
      <c r="U536" s="1126"/>
      <c r="V536" s="1126"/>
      <c r="W536" s="1126"/>
      <c r="X536" s="1126"/>
      <c r="Y536" s="1126"/>
      <c r="Z536" s="1126"/>
      <c r="AA536" s="1126"/>
      <c r="AB536" s="1126"/>
    </row>
    <row r="537" ht="15.75" customHeight="1">
      <c r="B537" s="1126"/>
      <c r="C537" s="1126"/>
      <c r="D537" s="1126"/>
      <c r="E537" s="1126"/>
      <c r="F537" s="1126"/>
      <c r="G537" s="1126"/>
      <c r="H537" s="1126"/>
      <c r="I537" s="1126"/>
      <c r="J537" s="1126"/>
      <c r="K537" s="1126"/>
      <c r="L537" s="1126"/>
      <c r="M537" s="1126"/>
      <c r="N537" s="1126"/>
      <c r="O537" s="1126"/>
      <c r="P537" s="1126"/>
      <c r="Q537" s="1126"/>
      <c r="R537" s="1126"/>
      <c r="S537" s="1126"/>
      <c r="T537" s="1126"/>
      <c r="U537" s="1126"/>
      <c r="V537" s="1126"/>
      <c r="W537" s="1126"/>
      <c r="X537" s="1126"/>
      <c r="Y537" s="1126"/>
      <c r="Z537" s="1126"/>
      <c r="AA537" s="1126"/>
      <c r="AB537" s="1126"/>
    </row>
    <row r="538" ht="15.75" customHeight="1">
      <c r="B538" s="1126"/>
      <c r="C538" s="1126"/>
      <c r="D538" s="1126"/>
      <c r="E538" s="1126"/>
      <c r="F538" s="1126"/>
      <c r="G538" s="1126"/>
      <c r="H538" s="1126"/>
      <c r="I538" s="1126"/>
      <c r="J538" s="1126"/>
      <c r="K538" s="1126"/>
      <c r="L538" s="1126"/>
      <c r="M538" s="1126"/>
      <c r="N538" s="1126"/>
      <c r="O538" s="1126"/>
      <c r="P538" s="1126"/>
      <c r="Q538" s="1126"/>
      <c r="R538" s="1126"/>
      <c r="S538" s="1126"/>
      <c r="T538" s="1126"/>
      <c r="U538" s="1126"/>
      <c r="V538" s="1126"/>
      <c r="W538" s="1126"/>
      <c r="X538" s="1126"/>
      <c r="Y538" s="1126"/>
      <c r="Z538" s="1126"/>
      <c r="AA538" s="1126"/>
      <c r="AB538" s="1126"/>
    </row>
    <row r="539" ht="15.75" customHeight="1">
      <c r="B539" s="1126"/>
      <c r="C539" s="1126"/>
      <c r="D539" s="1126"/>
      <c r="E539" s="1126"/>
      <c r="F539" s="1126"/>
      <c r="G539" s="1126"/>
      <c r="H539" s="1126"/>
      <c r="I539" s="1126"/>
      <c r="J539" s="1126"/>
      <c r="K539" s="1126"/>
      <c r="L539" s="1126"/>
      <c r="M539" s="1126"/>
      <c r="N539" s="1126"/>
      <c r="O539" s="1126"/>
      <c r="P539" s="1126"/>
      <c r="Q539" s="1126"/>
      <c r="R539" s="1126"/>
      <c r="S539" s="1126"/>
      <c r="T539" s="1126"/>
      <c r="U539" s="1126"/>
      <c r="V539" s="1126"/>
      <c r="W539" s="1126"/>
      <c r="X539" s="1126"/>
      <c r="Y539" s="1126"/>
      <c r="Z539" s="1126"/>
      <c r="AA539" s="1126"/>
      <c r="AB539" s="1126"/>
    </row>
    <row r="540" ht="15.75" customHeight="1">
      <c r="B540" s="1126"/>
      <c r="C540" s="1126"/>
      <c r="D540" s="1126"/>
      <c r="E540" s="1126"/>
      <c r="F540" s="1126"/>
      <c r="G540" s="1126"/>
      <c r="H540" s="1126"/>
      <c r="I540" s="1126"/>
      <c r="J540" s="1126"/>
      <c r="K540" s="1126"/>
      <c r="L540" s="1126"/>
      <c r="M540" s="1126"/>
      <c r="N540" s="1126"/>
      <c r="O540" s="1126"/>
      <c r="P540" s="1126"/>
      <c r="Q540" s="1126"/>
      <c r="R540" s="1126"/>
      <c r="S540" s="1126"/>
      <c r="T540" s="1126"/>
      <c r="U540" s="1126"/>
      <c r="V540" s="1126"/>
      <c r="W540" s="1126"/>
      <c r="X540" s="1126"/>
      <c r="Y540" s="1126"/>
      <c r="Z540" s="1126"/>
      <c r="AA540" s="1126"/>
      <c r="AB540" s="1126"/>
    </row>
    <row r="541" ht="15.75" customHeight="1">
      <c r="B541" s="1126"/>
      <c r="C541" s="1126"/>
      <c r="D541" s="1126"/>
      <c r="E541" s="1126"/>
      <c r="F541" s="1126"/>
      <c r="G541" s="1126"/>
      <c r="H541" s="1126"/>
      <c r="I541" s="1126"/>
      <c r="J541" s="1126"/>
      <c r="K541" s="1126"/>
      <c r="L541" s="1126"/>
      <c r="M541" s="1126"/>
      <c r="N541" s="1126"/>
      <c r="O541" s="1126"/>
      <c r="P541" s="1126"/>
      <c r="Q541" s="1126"/>
      <c r="R541" s="1126"/>
      <c r="S541" s="1126"/>
      <c r="T541" s="1126"/>
      <c r="U541" s="1126"/>
      <c r="V541" s="1126"/>
      <c r="W541" s="1126"/>
      <c r="X541" s="1126"/>
      <c r="Y541" s="1126"/>
      <c r="Z541" s="1126"/>
      <c r="AA541" s="1126"/>
      <c r="AB541" s="1126"/>
    </row>
    <row r="542" ht="15.75" customHeight="1">
      <c r="B542" s="1126"/>
      <c r="C542" s="1126"/>
      <c r="D542" s="1126"/>
      <c r="E542" s="1126"/>
      <c r="F542" s="1126"/>
      <c r="G542" s="1126"/>
      <c r="H542" s="1126"/>
      <c r="I542" s="1126"/>
      <c r="J542" s="1126"/>
      <c r="K542" s="1126"/>
      <c r="L542" s="1126"/>
      <c r="M542" s="1126"/>
      <c r="N542" s="1126"/>
      <c r="O542" s="1126"/>
      <c r="P542" s="1126"/>
      <c r="Q542" s="1126"/>
      <c r="R542" s="1126"/>
      <c r="S542" s="1126"/>
      <c r="T542" s="1126"/>
      <c r="U542" s="1126"/>
      <c r="V542" s="1126"/>
      <c r="W542" s="1126"/>
      <c r="X542" s="1126"/>
      <c r="Y542" s="1126"/>
      <c r="Z542" s="1126"/>
      <c r="AA542" s="1126"/>
      <c r="AB542" s="1126"/>
    </row>
    <row r="543" ht="15.75" customHeight="1">
      <c r="B543" s="1126"/>
      <c r="C543" s="1126"/>
      <c r="D543" s="1126"/>
      <c r="E543" s="1126"/>
      <c r="F543" s="1126"/>
      <c r="G543" s="1126"/>
      <c r="H543" s="1126"/>
      <c r="I543" s="1126"/>
      <c r="J543" s="1126"/>
      <c r="K543" s="1126"/>
      <c r="L543" s="1126"/>
      <c r="M543" s="1126"/>
      <c r="N543" s="1126"/>
      <c r="O543" s="1126"/>
      <c r="P543" s="1126"/>
      <c r="Q543" s="1126"/>
      <c r="R543" s="1126"/>
      <c r="S543" s="1126"/>
      <c r="T543" s="1126"/>
      <c r="U543" s="1126"/>
      <c r="V543" s="1126"/>
      <c r="W543" s="1126"/>
      <c r="X543" s="1126"/>
      <c r="Y543" s="1126"/>
      <c r="Z543" s="1126"/>
      <c r="AA543" s="1126"/>
      <c r="AB543" s="1126"/>
    </row>
    <row r="544" ht="15.75" customHeight="1">
      <c r="B544" s="1126"/>
      <c r="C544" s="1126"/>
      <c r="D544" s="1126"/>
      <c r="E544" s="1126"/>
      <c r="F544" s="1126"/>
      <c r="G544" s="1126"/>
      <c r="H544" s="1126"/>
      <c r="I544" s="1126"/>
      <c r="J544" s="1126"/>
      <c r="K544" s="1126"/>
      <c r="L544" s="1126"/>
      <c r="M544" s="1126"/>
      <c r="N544" s="1126"/>
      <c r="O544" s="1126"/>
      <c r="P544" s="1126"/>
      <c r="Q544" s="1126"/>
      <c r="R544" s="1126"/>
      <c r="S544" s="1126"/>
      <c r="T544" s="1126"/>
      <c r="U544" s="1126"/>
      <c r="V544" s="1126"/>
      <c r="W544" s="1126"/>
      <c r="X544" s="1126"/>
      <c r="Y544" s="1126"/>
      <c r="Z544" s="1126"/>
      <c r="AA544" s="1126"/>
      <c r="AB544" s="1126"/>
    </row>
    <row r="545" ht="15.75" customHeight="1">
      <c r="B545" s="1126"/>
      <c r="C545" s="1126"/>
      <c r="D545" s="1126"/>
      <c r="E545" s="1126"/>
      <c r="F545" s="1126"/>
      <c r="G545" s="1126"/>
      <c r="H545" s="1126"/>
      <c r="I545" s="1126"/>
      <c r="J545" s="1126"/>
      <c r="K545" s="1126"/>
      <c r="L545" s="1126"/>
      <c r="M545" s="1126"/>
      <c r="N545" s="1126"/>
      <c r="O545" s="1126"/>
      <c r="P545" s="1126"/>
      <c r="Q545" s="1126"/>
      <c r="R545" s="1126"/>
      <c r="S545" s="1126"/>
      <c r="T545" s="1126"/>
      <c r="U545" s="1126"/>
      <c r="V545" s="1126"/>
      <c r="W545" s="1126"/>
      <c r="X545" s="1126"/>
      <c r="Y545" s="1126"/>
      <c r="Z545" s="1126"/>
      <c r="AA545" s="1126"/>
      <c r="AB545" s="1126"/>
    </row>
    <row r="546" ht="15.75" customHeight="1">
      <c r="B546" s="1126"/>
      <c r="C546" s="1126"/>
      <c r="D546" s="1126"/>
      <c r="E546" s="1126"/>
      <c r="F546" s="1126"/>
      <c r="G546" s="1126"/>
      <c r="H546" s="1126"/>
      <c r="I546" s="1126"/>
      <c r="J546" s="1126"/>
      <c r="K546" s="1126"/>
      <c r="L546" s="1126"/>
      <c r="M546" s="1126"/>
      <c r="N546" s="1126"/>
      <c r="O546" s="1126"/>
      <c r="P546" s="1126"/>
      <c r="Q546" s="1126"/>
      <c r="R546" s="1126"/>
      <c r="S546" s="1126"/>
      <c r="T546" s="1126"/>
      <c r="U546" s="1126"/>
      <c r="V546" s="1126"/>
      <c r="W546" s="1126"/>
      <c r="X546" s="1126"/>
      <c r="Y546" s="1126"/>
      <c r="Z546" s="1126"/>
      <c r="AA546" s="1126"/>
      <c r="AB546" s="1126"/>
    </row>
    <row r="547" ht="15.75" customHeight="1">
      <c r="B547" s="1126"/>
      <c r="C547" s="1126"/>
      <c r="D547" s="1126"/>
      <c r="E547" s="1126"/>
      <c r="F547" s="1126"/>
      <c r="G547" s="1126"/>
      <c r="H547" s="1126"/>
      <c r="I547" s="1126"/>
      <c r="J547" s="1126"/>
      <c r="K547" s="1126"/>
      <c r="L547" s="1126"/>
      <c r="M547" s="1126"/>
      <c r="N547" s="1126"/>
      <c r="O547" s="1126"/>
      <c r="P547" s="1126"/>
      <c r="Q547" s="1126"/>
      <c r="R547" s="1126"/>
      <c r="S547" s="1126"/>
      <c r="T547" s="1126"/>
      <c r="U547" s="1126"/>
      <c r="V547" s="1126"/>
      <c r="W547" s="1126"/>
      <c r="X547" s="1126"/>
      <c r="Y547" s="1126"/>
      <c r="Z547" s="1126"/>
      <c r="AA547" s="1126"/>
      <c r="AB547" s="1126"/>
    </row>
    <row r="548" ht="15.75" customHeight="1">
      <c r="B548" s="1126"/>
      <c r="C548" s="1126"/>
      <c r="D548" s="1126"/>
      <c r="E548" s="1126"/>
      <c r="F548" s="1126"/>
      <c r="G548" s="1126"/>
      <c r="H548" s="1126"/>
      <c r="I548" s="1126"/>
      <c r="J548" s="1126"/>
      <c r="K548" s="1126"/>
      <c r="L548" s="1126"/>
      <c r="M548" s="1126"/>
      <c r="N548" s="1126"/>
      <c r="O548" s="1126"/>
      <c r="P548" s="1126"/>
      <c r="Q548" s="1126"/>
      <c r="R548" s="1126"/>
      <c r="S548" s="1126"/>
      <c r="T548" s="1126"/>
      <c r="U548" s="1126"/>
      <c r="V548" s="1126"/>
      <c r="W548" s="1126"/>
      <c r="X548" s="1126"/>
      <c r="Y548" s="1126"/>
      <c r="Z548" s="1126"/>
      <c r="AA548" s="1126"/>
      <c r="AB548" s="1126"/>
    </row>
    <row r="549" ht="15.75" customHeight="1">
      <c r="B549" s="1126"/>
      <c r="C549" s="1126"/>
      <c r="D549" s="1126"/>
      <c r="E549" s="1126"/>
      <c r="F549" s="1126"/>
      <c r="G549" s="1126"/>
      <c r="H549" s="1126"/>
      <c r="I549" s="1126"/>
      <c r="J549" s="1126"/>
      <c r="K549" s="1126"/>
      <c r="L549" s="1126"/>
      <c r="M549" s="1126"/>
      <c r="N549" s="1126"/>
      <c r="O549" s="1126"/>
      <c r="P549" s="1126"/>
      <c r="Q549" s="1126"/>
      <c r="R549" s="1126"/>
      <c r="S549" s="1126"/>
      <c r="T549" s="1126"/>
      <c r="U549" s="1126"/>
      <c r="V549" s="1126"/>
      <c r="W549" s="1126"/>
      <c r="X549" s="1126"/>
      <c r="Y549" s="1126"/>
      <c r="Z549" s="1126"/>
      <c r="AA549" s="1126"/>
      <c r="AB549" s="1126"/>
    </row>
    <row r="550" ht="15.75" customHeight="1">
      <c r="B550" s="1126"/>
      <c r="C550" s="1126"/>
      <c r="D550" s="1126"/>
      <c r="E550" s="1126"/>
      <c r="F550" s="1126"/>
      <c r="G550" s="1126"/>
      <c r="H550" s="1126"/>
      <c r="I550" s="1126"/>
      <c r="J550" s="1126"/>
      <c r="K550" s="1126"/>
      <c r="L550" s="1126"/>
      <c r="M550" s="1126"/>
      <c r="N550" s="1126"/>
      <c r="O550" s="1126"/>
      <c r="P550" s="1126"/>
      <c r="Q550" s="1126"/>
      <c r="R550" s="1126"/>
      <c r="S550" s="1126"/>
      <c r="T550" s="1126"/>
      <c r="U550" s="1126"/>
      <c r="V550" s="1126"/>
      <c r="W550" s="1126"/>
      <c r="X550" s="1126"/>
      <c r="Y550" s="1126"/>
      <c r="Z550" s="1126"/>
      <c r="AA550" s="1126"/>
      <c r="AB550" s="1126"/>
    </row>
    <row r="551" ht="15.75" customHeight="1">
      <c r="B551" s="1126"/>
      <c r="C551" s="1126"/>
      <c r="D551" s="1126"/>
      <c r="E551" s="1126"/>
      <c r="F551" s="1126"/>
      <c r="G551" s="1126"/>
      <c r="H551" s="1126"/>
      <c r="I551" s="1126"/>
      <c r="J551" s="1126"/>
      <c r="K551" s="1126"/>
      <c r="L551" s="1126"/>
      <c r="M551" s="1126"/>
      <c r="N551" s="1126"/>
      <c r="O551" s="1126"/>
      <c r="P551" s="1126"/>
      <c r="Q551" s="1126"/>
      <c r="R551" s="1126"/>
      <c r="S551" s="1126"/>
      <c r="T551" s="1126"/>
      <c r="U551" s="1126"/>
      <c r="V551" s="1126"/>
      <c r="W551" s="1126"/>
      <c r="X551" s="1126"/>
      <c r="Y551" s="1126"/>
      <c r="Z551" s="1126"/>
      <c r="AA551" s="1126"/>
      <c r="AB551" s="1126"/>
    </row>
    <row r="552" ht="15.75" customHeight="1">
      <c r="B552" s="1126"/>
      <c r="C552" s="1126"/>
      <c r="D552" s="1126"/>
      <c r="E552" s="1126"/>
      <c r="F552" s="1126"/>
      <c r="G552" s="1126"/>
      <c r="H552" s="1126"/>
      <c r="I552" s="1126"/>
      <c r="J552" s="1126"/>
      <c r="K552" s="1126"/>
      <c r="L552" s="1126"/>
      <c r="M552" s="1126"/>
      <c r="N552" s="1126"/>
      <c r="O552" s="1126"/>
      <c r="P552" s="1126"/>
      <c r="Q552" s="1126"/>
      <c r="R552" s="1126"/>
      <c r="S552" s="1126"/>
      <c r="T552" s="1126"/>
      <c r="U552" s="1126"/>
      <c r="V552" s="1126"/>
      <c r="W552" s="1126"/>
      <c r="X552" s="1126"/>
      <c r="Y552" s="1126"/>
      <c r="Z552" s="1126"/>
      <c r="AA552" s="1126"/>
      <c r="AB552" s="1126"/>
    </row>
    <row r="553" ht="15.75" customHeight="1">
      <c r="B553" s="1126"/>
      <c r="C553" s="1126"/>
      <c r="D553" s="1126"/>
      <c r="E553" s="1126"/>
      <c r="F553" s="1126"/>
      <c r="G553" s="1126"/>
      <c r="H553" s="1126"/>
      <c r="I553" s="1126"/>
      <c r="J553" s="1126"/>
      <c r="K553" s="1126"/>
      <c r="L553" s="1126"/>
      <c r="M553" s="1126"/>
      <c r="N553" s="1126"/>
      <c r="O553" s="1126"/>
      <c r="P553" s="1126"/>
      <c r="Q553" s="1126"/>
      <c r="R553" s="1126"/>
      <c r="S553" s="1126"/>
      <c r="T553" s="1126"/>
      <c r="U553" s="1126"/>
      <c r="V553" s="1126"/>
      <c r="W553" s="1126"/>
      <c r="X553" s="1126"/>
      <c r="Y553" s="1126"/>
      <c r="Z553" s="1126"/>
      <c r="AA553" s="1126"/>
      <c r="AB553" s="1126"/>
    </row>
    <row r="554" ht="15.75" customHeight="1">
      <c r="B554" s="1126"/>
      <c r="C554" s="1126"/>
      <c r="D554" s="1126"/>
      <c r="E554" s="1126"/>
      <c r="F554" s="1126"/>
      <c r="G554" s="1126"/>
      <c r="H554" s="1126"/>
      <c r="I554" s="1126"/>
      <c r="J554" s="1126"/>
      <c r="K554" s="1126"/>
      <c r="L554" s="1126"/>
      <c r="M554" s="1126"/>
      <c r="N554" s="1126"/>
      <c r="O554" s="1126"/>
      <c r="P554" s="1126"/>
      <c r="Q554" s="1126"/>
      <c r="R554" s="1126"/>
      <c r="S554" s="1126"/>
      <c r="T554" s="1126"/>
      <c r="U554" s="1126"/>
      <c r="V554" s="1126"/>
      <c r="W554" s="1126"/>
      <c r="X554" s="1126"/>
      <c r="Y554" s="1126"/>
      <c r="Z554" s="1126"/>
      <c r="AA554" s="1126"/>
      <c r="AB554" s="1126"/>
    </row>
    <row r="555" ht="15.75" customHeight="1">
      <c r="B555" s="1126"/>
      <c r="C555" s="1126"/>
      <c r="D555" s="1126"/>
      <c r="E555" s="1126"/>
      <c r="F555" s="1126"/>
      <c r="G555" s="1126"/>
      <c r="H555" s="1126"/>
      <c r="I555" s="1126"/>
      <c r="J555" s="1126"/>
      <c r="K555" s="1126"/>
      <c r="L555" s="1126"/>
      <c r="M555" s="1126"/>
      <c r="N555" s="1126"/>
      <c r="O555" s="1126"/>
      <c r="P555" s="1126"/>
      <c r="Q555" s="1126"/>
      <c r="R555" s="1126"/>
      <c r="S555" s="1126"/>
      <c r="T555" s="1126"/>
      <c r="U555" s="1126"/>
      <c r="V555" s="1126"/>
      <c r="W555" s="1126"/>
      <c r="X555" s="1126"/>
      <c r="Y555" s="1126"/>
      <c r="Z555" s="1126"/>
      <c r="AA555" s="1126"/>
      <c r="AB555" s="1126"/>
    </row>
    <row r="556" ht="15.75" customHeight="1">
      <c r="B556" s="1126"/>
      <c r="C556" s="1126"/>
      <c r="D556" s="1126"/>
      <c r="E556" s="1126"/>
      <c r="F556" s="1126"/>
      <c r="G556" s="1126"/>
      <c r="H556" s="1126"/>
      <c r="I556" s="1126"/>
      <c r="J556" s="1126"/>
      <c r="K556" s="1126"/>
      <c r="L556" s="1126"/>
      <c r="M556" s="1126"/>
      <c r="N556" s="1126"/>
      <c r="O556" s="1126"/>
      <c r="P556" s="1126"/>
      <c r="Q556" s="1126"/>
      <c r="R556" s="1126"/>
      <c r="S556" s="1126"/>
      <c r="T556" s="1126"/>
      <c r="U556" s="1126"/>
      <c r="V556" s="1126"/>
      <c r="W556" s="1126"/>
      <c r="X556" s="1126"/>
      <c r="Y556" s="1126"/>
      <c r="Z556" s="1126"/>
      <c r="AA556" s="1126"/>
      <c r="AB556" s="1126"/>
    </row>
    <row r="557" ht="15.75" customHeight="1">
      <c r="B557" s="1126"/>
      <c r="C557" s="1126"/>
      <c r="D557" s="1126"/>
      <c r="E557" s="1126"/>
      <c r="F557" s="1126"/>
      <c r="G557" s="1126"/>
      <c r="H557" s="1126"/>
      <c r="I557" s="1126"/>
      <c r="J557" s="1126"/>
      <c r="K557" s="1126"/>
      <c r="L557" s="1126"/>
      <c r="M557" s="1126"/>
      <c r="N557" s="1126"/>
      <c r="O557" s="1126"/>
      <c r="P557" s="1126"/>
      <c r="Q557" s="1126"/>
      <c r="R557" s="1126"/>
      <c r="S557" s="1126"/>
      <c r="T557" s="1126"/>
      <c r="U557" s="1126"/>
      <c r="V557" s="1126"/>
      <c r="W557" s="1126"/>
      <c r="X557" s="1126"/>
      <c r="Y557" s="1126"/>
      <c r="Z557" s="1126"/>
      <c r="AA557" s="1126"/>
      <c r="AB557" s="1126"/>
    </row>
    <row r="558" ht="15.75" customHeight="1">
      <c r="B558" s="1126"/>
      <c r="C558" s="1126"/>
      <c r="D558" s="1126"/>
      <c r="E558" s="1126"/>
      <c r="F558" s="1126"/>
      <c r="G558" s="1126"/>
      <c r="H558" s="1126"/>
      <c r="I558" s="1126"/>
      <c r="J558" s="1126"/>
      <c r="K558" s="1126"/>
      <c r="L558" s="1126"/>
      <c r="M558" s="1126"/>
      <c r="N558" s="1126"/>
      <c r="O558" s="1126"/>
      <c r="P558" s="1126"/>
      <c r="Q558" s="1126"/>
      <c r="R558" s="1126"/>
      <c r="S558" s="1126"/>
      <c r="T558" s="1126"/>
      <c r="U558" s="1126"/>
      <c r="V558" s="1126"/>
      <c r="W558" s="1126"/>
      <c r="X558" s="1126"/>
      <c r="Y558" s="1126"/>
      <c r="Z558" s="1126"/>
      <c r="AA558" s="1126"/>
      <c r="AB558" s="1126"/>
    </row>
    <row r="559" ht="15.75" customHeight="1">
      <c r="B559" s="1126"/>
      <c r="C559" s="1126"/>
      <c r="D559" s="1126"/>
      <c r="E559" s="1126"/>
      <c r="F559" s="1126"/>
      <c r="G559" s="1126"/>
      <c r="H559" s="1126"/>
      <c r="I559" s="1126"/>
      <c r="J559" s="1126"/>
      <c r="K559" s="1126"/>
      <c r="L559" s="1126"/>
      <c r="M559" s="1126"/>
      <c r="N559" s="1126"/>
      <c r="O559" s="1126"/>
      <c r="P559" s="1126"/>
      <c r="Q559" s="1126"/>
      <c r="R559" s="1126"/>
      <c r="S559" s="1126"/>
      <c r="T559" s="1126"/>
      <c r="U559" s="1126"/>
      <c r="V559" s="1126"/>
      <c r="W559" s="1126"/>
      <c r="X559" s="1126"/>
      <c r="Y559" s="1126"/>
      <c r="Z559" s="1126"/>
      <c r="AA559" s="1126"/>
      <c r="AB559" s="1126"/>
    </row>
    <row r="560" ht="15.75" customHeight="1">
      <c r="B560" s="1126"/>
      <c r="C560" s="1126"/>
      <c r="D560" s="1126"/>
      <c r="E560" s="1126"/>
      <c r="F560" s="1126"/>
      <c r="G560" s="1126"/>
      <c r="H560" s="1126"/>
      <c r="I560" s="1126"/>
      <c r="J560" s="1126"/>
      <c r="K560" s="1126"/>
      <c r="L560" s="1126"/>
      <c r="M560" s="1126"/>
      <c r="N560" s="1126"/>
      <c r="O560" s="1126"/>
      <c r="P560" s="1126"/>
      <c r="Q560" s="1126"/>
      <c r="R560" s="1126"/>
      <c r="S560" s="1126"/>
      <c r="T560" s="1126"/>
      <c r="U560" s="1126"/>
      <c r="V560" s="1126"/>
      <c r="W560" s="1126"/>
      <c r="X560" s="1126"/>
      <c r="Y560" s="1126"/>
      <c r="Z560" s="1126"/>
      <c r="AA560" s="1126"/>
      <c r="AB560" s="1126"/>
    </row>
    <row r="561" ht="15.75" customHeight="1">
      <c r="B561" s="1126"/>
      <c r="C561" s="1126"/>
      <c r="D561" s="1126"/>
      <c r="E561" s="1126"/>
      <c r="F561" s="1126"/>
      <c r="G561" s="1126"/>
      <c r="H561" s="1126"/>
      <c r="I561" s="1126"/>
      <c r="J561" s="1126"/>
      <c r="K561" s="1126"/>
      <c r="L561" s="1126"/>
      <c r="M561" s="1126"/>
      <c r="N561" s="1126"/>
      <c r="O561" s="1126"/>
      <c r="P561" s="1126"/>
      <c r="Q561" s="1126"/>
      <c r="R561" s="1126"/>
      <c r="S561" s="1126"/>
      <c r="T561" s="1126"/>
      <c r="U561" s="1126"/>
      <c r="V561" s="1126"/>
      <c r="W561" s="1126"/>
      <c r="X561" s="1126"/>
      <c r="Y561" s="1126"/>
      <c r="Z561" s="1126"/>
      <c r="AA561" s="1126"/>
      <c r="AB561" s="1126"/>
    </row>
    <row r="562" ht="15.75" customHeight="1">
      <c r="B562" s="1126"/>
      <c r="C562" s="1126"/>
      <c r="D562" s="1126"/>
      <c r="E562" s="1126"/>
      <c r="F562" s="1126"/>
      <c r="G562" s="1126"/>
      <c r="H562" s="1126"/>
      <c r="I562" s="1126"/>
      <c r="J562" s="1126"/>
      <c r="K562" s="1126"/>
      <c r="L562" s="1126"/>
      <c r="M562" s="1126"/>
      <c r="N562" s="1126"/>
      <c r="O562" s="1126"/>
      <c r="P562" s="1126"/>
      <c r="Q562" s="1126"/>
      <c r="R562" s="1126"/>
      <c r="S562" s="1126"/>
      <c r="T562" s="1126"/>
      <c r="U562" s="1126"/>
      <c r="V562" s="1126"/>
      <c r="W562" s="1126"/>
      <c r="X562" s="1126"/>
      <c r="Y562" s="1126"/>
      <c r="Z562" s="1126"/>
      <c r="AA562" s="1126"/>
      <c r="AB562" s="1126"/>
    </row>
    <row r="563" ht="15.75" customHeight="1">
      <c r="B563" s="1126"/>
      <c r="C563" s="1126"/>
      <c r="D563" s="1126"/>
      <c r="E563" s="1126"/>
      <c r="F563" s="1126"/>
      <c r="G563" s="1126"/>
      <c r="H563" s="1126"/>
      <c r="I563" s="1126"/>
      <c r="J563" s="1126"/>
      <c r="K563" s="1126"/>
      <c r="L563" s="1126"/>
      <c r="M563" s="1126"/>
      <c r="N563" s="1126"/>
      <c r="O563" s="1126"/>
      <c r="P563" s="1126"/>
      <c r="Q563" s="1126"/>
      <c r="R563" s="1126"/>
      <c r="S563" s="1126"/>
      <c r="T563" s="1126"/>
      <c r="U563" s="1126"/>
      <c r="V563" s="1126"/>
      <c r="W563" s="1126"/>
      <c r="X563" s="1126"/>
      <c r="Y563" s="1126"/>
      <c r="Z563" s="1126"/>
      <c r="AA563" s="1126"/>
      <c r="AB563" s="1126"/>
    </row>
    <row r="564" ht="15.75" customHeight="1">
      <c r="B564" s="1126"/>
      <c r="C564" s="1126"/>
      <c r="D564" s="1126"/>
      <c r="E564" s="1126"/>
      <c r="F564" s="1126"/>
      <c r="G564" s="1126"/>
      <c r="H564" s="1126"/>
      <c r="I564" s="1126"/>
      <c r="J564" s="1126"/>
      <c r="K564" s="1126"/>
      <c r="L564" s="1126"/>
      <c r="M564" s="1126"/>
      <c r="N564" s="1126"/>
      <c r="O564" s="1126"/>
      <c r="P564" s="1126"/>
      <c r="Q564" s="1126"/>
      <c r="R564" s="1126"/>
      <c r="S564" s="1126"/>
      <c r="T564" s="1126"/>
      <c r="U564" s="1126"/>
      <c r="V564" s="1126"/>
      <c r="W564" s="1126"/>
      <c r="X564" s="1126"/>
      <c r="Y564" s="1126"/>
      <c r="Z564" s="1126"/>
      <c r="AA564" s="1126"/>
      <c r="AB564" s="1126"/>
    </row>
    <row r="565" ht="15.75" customHeight="1">
      <c r="B565" s="1126"/>
      <c r="C565" s="1126"/>
      <c r="D565" s="1126"/>
      <c r="E565" s="1126"/>
      <c r="F565" s="1126"/>
      <c r="G565" s="1126"/>
      <c r="H565" s="1126"/>
      <c r="I565" s="1126"/>
      <c r="J565" s="1126"/>
      <c r="K565" s="1126"/>
      <c r="L565" s="1126"/>
      <c r="M565" s="1126"/>
      <c r="N565" s="1126"/>
      <c r="O565" s="1126"/>
      <c r="P565" s="1126"/>
      <c r="Q565" s="1126"/>
      <c r="R565" s="1126"/>
      <c r="S565" s="1126"/>
      <c r="T565" s="1126"/>
      <c r="U565" s="1126"/>
      <c r="V565" s="1126"/>
      <c r="W565" s="1126"/>
      <c r="X565" s="1126"/>
      <c r="Y565" s="1126"/>
      <c r="Z565" s="1126"/>
      <c r="AA565" s="1126"/>
      <c r="AB565" s="1126"/>
    </row>
    <row r="566" ht="15.75" customHeight="1">
      <c r="B566" s="1126"/>
      <c r="C566" s="1126"/>
      <c r="D566" s="1126"/>
      <c r="E566" s="1126"/>
      <c r="F566" s="1126"/>
      <c r="G566" s="1126"/>
      <c r="H566" s="1126"/>
      <c r="I566" s="1126"/>
      <c r="J566" s="1126"/>
      <c r="K566" s="1126"/>
      <c r="L566" s="1126"/>
      <c r="M566" s="1126"/>
      <c r="N566" s="1126"/>
      <c r="O566" s="1126"/>
      <c r="P566" s="1126"/>
      <c r="Q566" s="1126"/>
      <c r="R566" s="1126"/>
      <c r="S566" s="1126"/>
      <c r="T566" s="1126"/>
      <c r="U566" s="1126"/>
      <c r="V566" s="1126"/>
      <c r="W566" s="1126"/>
      <c r="X566" s="1126"/>
      <c r="Y566" s="1126"/>
      <c r="Z566" s="1126"/>
      <c r="AA566" s="1126"/>
      <c r="AB566" s="1126"/>
    </row>
    <row r="567" ht="15.75" customHeight="1">
      <c r="B567" s="1126"/>
      <c r="C567" s="1126"/>
      <c r="D567" s="1126"/>
      <c r="E567" s="1126"/>
      <c r="F567" s="1126"/>
      <c r="G567" s="1126"/>
      <c r="H567" s="1126"/>
      <c r="I567" s="1126"/>
      <c r="J567" s="1126"/>
      <c r="K567" s="1126"/>
      <c r="L567" s="1126"/>
      <c r="M567" s="1126"/>
      <c r="N567" s="1126"/>
      <c r="O567" s="1126"/>
      <c r="P567" s="1126"/>
      <c r="Q567" s="1126"/>
      <c r="R567" s="1126"/>
      <c r="S567" s="1126"/>
      <c r="T567" s="1126"/>
      <c r="U567" s="1126"/>
      <c r="V567" s="1126"/>
      <c r="W567" s="1126"/>
      <c r="X567" s="1126"/>
      <c r="Y567" s="1126"/>
      <c r="Z567" s="1126"/>
      <c r="AA567" s="1126"/>
      <c r="AB567" s="1126"/>
    </row>
    <row r="568" ht="15.75" customHeight="1">
      <c r="B568" s="1126"/>
      <c r="C568" s="1126"/>
      <c r="D568" s="1126"/>
      <c r="E568" s="1126"/>
      <c r="F568" s="1126"/>
      <c r="G568" s="1126"/>
      <c r="H568" s="1126"/>
      <c r="I568" s="1126"/>
      <c r="J568" s="1126"/>
      <c r="K568" s="1126"/>
      <c r="L568" s="1126"/>
      <c r="M568" s="1126"/>
      <c r="N568" s="1126"/>
      <c r="O568" s="1126"/>
      <c r="P568" s="1126"/>
      <c r="Q568" s="1126"/>
      <c r="R568" s="1126"/>
      <c r="S568" s="1126"/>
      <c r="T568" s="1126"/>
      <c r="U568" s="1126"/>
      <c r="V568" s="1126"/>
      <c r="W568" s="1126"/>
      <c r="X568" s="1126"/>
      <c r="Y568" s="1126"/>
      <c r="Z568" s="1126"/>
      <c r="AA568" s="1126"/>
      <c r="AB568" s="1126"/>
    </row>
    <row r="569" ht="15.75" customHeight="1">
      <c r="B569" s="1126"/>
      <c r="C569" s="1126"/>
      <c r="D569" s="1126"/>
      <c r="E569" s="1126"/>
      <c r="F569" s="1126"/>
      <c r="G569" s="1126"/>
      <c r="H569" s="1126"/>
      <c r="I569" s="1126"/>
      <c r="J569" s="1126"/>
      <c r="K569" s="1126"/>
      <c r="L569" s="1126"/>
      <c r="M569" s="1126"/>
      <c r="N569" s="1126"/>
      <c r="O569" s="1126"/>
      <c r="P569" s="1126"/>
      <c r="Q569" s="1126"/>
      <c r="R569" s="1126"/>
      <c r="S569" s="1126"/>
      <c r="T569" s="1126"/>
      <c r="U569" s="1126"/>
      <c r="V569" s="1126"/>
      <c r="W569" s="1126"/>
      <c r="X569" s="1126"/>
      <c r="Y569" s="1126"/>
      <c r="Z569" s="1126"/>
      <c r="AA569" s="1126"/>
      <c r="AB569" s="1126"/>
    </row>
    <row r="570" ht="15.75" customHeight="1">
      <c r="B570" s="1126"/>
      <c r="C570" s="1126"/>
      <c r="D570" s="1126"/>
      <c r="E570" s="1126"/>
      <c r="F570" s="1126"/>
      <c r="G570" s="1126"/>
      <c r="H570" s="1126"/>
      <c r="I570" s="1126"/>
      <c r="J570" s="1126"/>
      <c r="K570" s="1126"/>
      <c r="L570" s="1126"/>
      <c r="M570" s="1126"/>
      <c r="N570" s="1126"/>
      <c r="O570" s="1126"/>
      <c r="P570" s="1126"/>
      <c r="Q570" s="1126"/>
      <c r="R570" s="1126"/>
      <c r="S570" s="1126"/>
      <c r="T570" s="1126"/>
      <c r="U570" s="1126"/>
      <c r="V570" s="1126"/>
      <c r="W570" s="1126"/>
      <c r="X570" s="1126"/>
      <c r="Y570" s="1126"/>
      <c r="Z570" s="1126"/>
      <c r="AA570" s="1126"/>
      <c r="AB570" s="1126"/>
    </row>
    <row r="571" ht="15.75" customHeight="1">
      <c r="B571" s="1126"/>
      <c r="C571" s="1126"/>
      <c r="D571" s="1126"/>
      <c r="E571" s="1126"/>
      <c r="F571" s="1126"/>
      <c r="G571" s="1126"/>
      <c r="H571" s="1126"/>
      <c r="I571" s="1126"/>
      <c r="J571" s="1126"/>
      <c r="K571" s="1126"/>
      <c r="L571" s="1126"/>
      <c r="M571" s="1126"/>
      <c r="N571" s="1126"/>
      <c r="O571" s="1126"/>
      <c r="P571" s="1126"/>
      <c r="Q571" s="1126"/>
      <c r="R571" s="1126"/>
      <c r="S571" s="1126"/>
      <c r="T571" s="1126"/>
      <c r="U571" s="1126"/>
      <c r="V571" s="1126"/>
      <c r="W571" s="1126"/>
      <c r="X571" s="1126"/>
      <c r="Y571" s="1126"/>
      <c r="Z571" s="1126"/>
      <c r="AA571" s="1126"/>
      <c r="AB571" s="1126"/>
    </row>
    <row r="572" ht="15.75" customHeight="1">
      <c r="B572" s="1126"/>
      <c r="C572" s="1126"/>
      <c r="D572" s="1126"/>
      <c r="E572" s="1126"/>
      <c r="F572" s="1126"/>
      <c r="G572" s="1126"/>
      <c r="H572" s="1126"/>
      <c r="I572" s="1126"/>
      <c r="J572" s="1126"/>
      <c r="K572" s="1126"/>
      <c r="L572" s="1126"/>
      <c r="M572" s="1126"/>
      <c r="N572" s="1126"/>
      <c r="O572" s="1126"/>
      <c r="P572" s="1126"/>
      <c r="Q572" s="1126"/>
      <c r="R572" s="1126"/>
      <c r="S572" s="1126"/>
      <c r="T572" s="1126"/>
      <c r="U572" s="1126"/>
      <c r="V572" s="1126"/>
      <c r="W572" s="1126"/>
      <c r="X572" s="1126"/>
      <c r="Y572" s="1126"/>
      <c r="Z572" s="1126"/>
      <c r="AA572" s="1126"/>
      <c r="AB572" s="1126"/>
    </row>
    <row r="573" ht="15.75" customHeight="1">
      <c r="B573" s="1126"/>
      <c r="C573" s="1126"/>
      <c r="D573" s="1126"/>
      <c r="E573" s="1126"/>
      <c r="F573" s="1126"/>
      <c r="G573" s="1126"/>
      <c r="H573" s="1126"/>
      <c r="I573" s="1126"/>
      <c r="J573" s="1126"/>
      <c r="K573" s="1126"/>
      <c r="L573" s="1126"/>
      <c r="M573" s="1126"/>
      <c r="N573" s="1126"/>
      <c r="O573" s="1126"/>
      <c r="P573" s="1126"/>
      <c r="Q573" s="1126"/>
      <c r="R573" s="1126"/>
      <c r="S573" s="1126"/>
      <c r="T573" s="1126"/>
      <c r="U573" s="1126"/>
      <c r="V573" s="1126"/>
      <c r="W573" s="1126"/>
      <c r="X573" s="1126"/>
      <c r="Y573" s="1126"/>
      <c r="Z573" s="1126"/>
      <c r="AA573" s="1126"/>
      <c r="AB573" s="1126"/>
    </row>
    <row r="574" ht="15.75" customHeight="1">
      <c r="B574" s="1126"/>
      <c r="C574" s="1126"/>
      <c r="D574" s="1126"/>
      <c r="E574" s="1126"/>
      <c r="F574" s="1126"/>
      <c r="G574" s="1126"/>
      <c r="H574" s="1126"/>
      <c r="I574" s="1126"/>
      <c r="J574" s="1126"/>
      <c r="K574" s="1126"/>
      <c r="L574" s="1126"/>
      <c r="M574" s="1126"/>
      <c r="N574" s="1126"/>
      <c r="O574" s="1126"/>
      <c r="P574" s="1126"/>
      <c r="Q574" s="1126"/>
      <c r="R574" s="1126"/>
      <c r="S574" s="1126"/>
      <c r="T574" s="1126"/>
      <c r="U574" s="1126"/>
      <c r="V574" s="1126"/>
      <c r="W574" s="1126"/>
      <c r="X574" s="1126"/>
      <c r="Y574" s="1126"/>
      <c r="Z574" s="1126"/>
      <c r="AA574" s="1126"/>
      <c r="AB574" s="1126"/>
    </row>
    <row r="575" ht="15.75" customHeight="1">
      <c r="B575" s="1126"/>
      <c r="C575" s="1126"/>
      <c r="D575" s="1126"/>
      <c r="E575" s="1126"/>
      <c r="F575" s="1126"/>
      <c r="G575" s="1126"/>
      <c r="H575" s="1126"/>
      <c r="I575" s="1126"/>
      <c r="J575" s="1126"/>
      <c r="K575" s="1126"/>
      <c r="L575" s="1126"/>
      <c r="M575" s="1126"/>
      <c r="N575" s="1126"/>
      <c r="O575" s="1126"/>
      <c r="P575" s="1126"/>
      <c r="Q575" s="1126"/>
      <c r="R575" s="1126"/>
      <c r="S575" s="1126"/>
      <c r="T575" s="1126"/>
      <c r="U575" s="1126"/>
      <c r="V575" s="1126"/>
      <c r="W575" s="1126"/>
      <c r="X575" s="1126"/>
      <c r="Y575" s="1126"/>
      <c r="Z575" s="1126"/>
      <c r="AA575" s="1126"/>
      <c r="AB575" s="1126"/>
    </row>
    <row r="576" ht="15.75" customHeight="1">
      <c r="B576" s="1126"/>
      <c r="C576" s="1126"/>
      <c r="D576" s="1126"/>
      <c r="E576" s="1126"/>
      <c r="F576" s="1126"/>
      <c r="G576" s="1126"/>
      <c r="H576" s="1126"/>
      <c r="I576" s="1126"/>
      <c r="J576" s="1126"/>
      <c r="K576" s="1126"/>
      <c r="L576" s="1126"/>
      <c r="M576" s="1126"/>
      <c r="N576" s="1126"/>
      <c r="O576" s="1126"/>
      <c r="P576" s="1126"/>
      <c r="Q576" s="1126"/>
      <c r="R576" s="1126"/>
      <c r="S576" s="1126"/>
      <c r="T576" s="1126"/>
      <c r="U576" s="1126"/>
      <c r="V576" s="1126"/>
      <c r="W576" s="1126"/>
      <c r="X576" s="1126"/>
      <c r="Y576" s="1126"/>
      <c r="Z576" s="1126"/>
      <c r="AA576" s="1126"/>
      <c r="AB576" s="1126"/>
    </row>
    <row r="577" ht="15.75" customHeight="1">
      <c r="B577" s="1126"/>
      <c r="C577" s="1126"/>
      <c r="D577" s="1126"/>
      <c r="E577" s="1126"/>
      <c r="F577" s="1126"/>
      <c r="G577" s="1126"/>
      <c r="H577" s="1126"/>
      <c r="I577" s="1126"/>
      <c r="J577" s="1126"/>
      <c r="K577" s="1126"/>
      <c r="L577" s="1126"/>
      <c r="M577" s="1126"/>
      <c r="N577" s="1126"/>
      <c r="O577" s="1126"/>
      <c r="P577" s="1126"/>
      <c r="Q577" s="1126"/>
      <c r="R577" s="1126"/>
      <c r="S577" s="1126"/>
      <c r="T577" s="1126"/>
      <c r="U577" s="1126"/>
      <c r="V577" s="1126"/>
      <c r="W577" s="1126"/>
      <c r="X577" s="1126"/>
      <c r="Y577" s="1126"/>
      <c r="Z577" s="1126"/>
      <c r="AA577" s="1126"/>
      <c r="AB577" s="1126"/>
    </row>
    <row r="578" ht="15.75" customHeight="1">
      <c r="B578" s="1126"/>
      <c r="C578" s="1126"/>
      <c r="D578" s="1126"/>
      <c r="E578" s="1126"/>
      <c r="F578" s="1126"/>
      <c r="G578" s="1126"/>
      <c r="H578" s="1126"/>
      <c r="I578" s="1126"/>
      <c r="J578" s="1126"/>
      <c r="K578" s="1126"/>
      <c r="L578" s="1126"/>
      <c r="M578" s="1126"/>
      <c r="N578" s="1126"/>
      <c r="O578" s="1126"/>
      <c r="P578" s="1126"/>
      <c r="Q578" s="1126"/>
      <c r="R578" s="1126"/>
      <c r="S578" s="1126"/>
      <c r="T578" s="1126"/>
      <c r="U578" s="1126"/>
      <c r="V578" s="1126"/>
      <c r="W578" s="1126"/>
      <c r="X578" s="1126"/>
      <c r="Y578" s="1126"/>
      <c r="Z578" s="1126"/>
      <c r="AA578" s="1126"/>
      <c r="AB578" s="1126"/>
    </row>
    <row r="579" ht="15.75" customHeight="1">
      <c r="B579" s="1126"/>
      <c r="C579" s="1126"/>
      <c r="D579" s="1126"/>
      <c r="E579" s="1126"/>
      <c r="F579" s="1126"/>
      <c r="G579" s="1126"/>
      <c r="H579" s="1126"/>
      <c r="I579" s="1126"/>
      <c r="J579" s="1126"/>
      <c r="K579" s="1126"/>
      <c r="L579" s="1126"/>
      <c r="M579" s="1126"/>
      <c r="N579" s="1126"/>
      <c r="O579" s="1126"/>
      <c r="P579" s="1126"/>
      <c r="Q579" s="1126"/>
      <c r="R579" s="1126"/>
      <c r="S579" s="1126"/>
      <c r="T579" s="1126"/>
      <c r="U579" s="1126"/>
      <c r="V579" s="1126"/>
      <c r="W579" s="1126"/>
      <c r="X579" s="1126"/>
      <c r="Y579" s="1126"/>
      <c r="Z579" s="1126"/>
      <c r="AA579" s="1126"/>
      <c r="AB579" s="1126"/>
    </row>
    <row r="580" ht="15.75" customHeight="1">
      <c r="B580" s="1126"/>
      <c r="C580" s="1126"/>
      <c r="D580" s="1126"/>
      <c r="E580" s="1126"/>
      <c r="F580" s="1126"/>
      <c r="G580" s="1126"/>
      <c r="H580" s="1126"/>
      <c r="I580" s="1126"/>
      <c r="J580" s="1126"/>
      <c r="K580" s="1126"/>
      <c r="L580" s="1126"/>
      <c r="M580" s="1126"/>
      <c r="N580" s="1126"/>
      <c r="O580" s="1126"/>
      <c r="P580" s="1126"/>
      <c r="Q580" s="1126"/>
      <c r="R580" s="1126"/>
      <c r="S580" s="1126"/>
      <c r="T580" s="1126"/>
      <c r="U580" s="1126"/>
      <c r="V580" s="1126"/>
      <c r="W580" s="1126"/>
      <c r="X580" s="1126"/>
      <c r="Y580" s="1126"/>
      <c r="Z580" s="1126"/>
      <c r="AA580" s="1126"/>
      <c r="AB580" s="1126"/>
    </row>
    <row r="581" ht="15.75" customHeight="1">
      <c r="B581" s="1126"/>
      <c r="C581" s="1126"/>
      <c r="D581" s="1126"/>
      <c r="E581" s="1126"/>
      <c r="F581" s="1126"/>
      <c r="G581" s="1126"/>
      <c r="H581" s="1126"/>
      <c r="I581" s="1126"/>
      <c r="J581" s="1126"/>
      <c r="K581" s="1126"/>
      <c r="L581" s="1126"/>
      <c r="M581" s="1126"/>
      <c r="N581" s="1126"/>
      <c r="O581" s="1126"/>
      <c r="P581" s="1126"/>
      <c r="Q581" s="1126"/>
      <c r="R581" s="1126"/>
      <c r="S581" s="1126"/>
      <c r="T581" s="1126"/>
      <c r="U581" s="1126"/>
      <c r="V581" s="1126"/>
      <c r="W581" s="1126"/>
      <c r="X581" s="1126"/>
      <c r="Y581" s="1126"/>
      <c r="Z581" s="1126"/>
      <c r="AA581" s="1126"/>
      <c r="AB581" s="1126"/>
    </row>
    <row r="582" ht="15.75" customHeight="1">
      <c r="B582" s="1126"/>
      <c r="C582" s="1126"/>
      <c r="D582" s="1126"/>
      <c r="E582" s="1126"/>
      <c r="F582" s="1126"/>
      <c r="G582" s="1126"/>
      <c r="H582" s="1126"/>
      <c r="I582" s="1126"/>
      <c r="J582" s="1126"/>
      <c r="K582" s="1126"/>
      <c r="L582" s="1126"/>
      <c r="M582" s="1126"/>
      <c r="N582" s="1126"/>
      <c r="O582" s="1126"/>
      <c r="P582" s="1126"/>
      <c r="Q582" s="1126"/>
      <c r="R582" s="1126"/>
      <c r="S582" s="1126"/>
      <c r="T582" s="1126"/>
      <c r="U582" s="1126"/>
      <c r="V582" s="1126"/>
      <c r="W582" s="1126"/>
      <c r="X582" s="1126"/>
      <c r="Y582" s="1126"/>
      <c r="Z582" s="1126"/>
      <c r="AA582" s="1126"/>
      <c r="AB582" s="1126"/>
    </row>
    <row r="583" ht="15.75" customHeight="1">
      <c r="B583" s="1126"/>
      <c r="C583" s="1126"/>
      <c r="D583" s="1126"/>
      <c r="E583" s="1126"/>
      <c r="F583" s="1126"/>
      <c r="G583" s="1126"/>
      <c r="H583" s="1126"/>
      <c r="I583" s="1126"/>
      <c r="J583" s="1126"/>
      <c r="K583" s="1126"/>
      <c r="L583" s="1126"/>
      <c r="M583" s="1126"/>
      <c r="N583" s="1126"/>
      <c r="O583" s="1126"/>
      <c r="P583" s="1126"/>
      <c r="Q583" s="1126"/>
      <c r="R583" s="1126"/>
      <c r="S583" s="1126"/>
      <c r="T583" s="1126"/>
      <c r="U583" s="1126"/>
      <c r="V583" s="1126"/>
      <c r="W583" s="1126"/>
      <c r="X583" s="1126"/>
      <c r="Y583" s="1126"/>
      <c r="Z583" s="1126"/>
      <c r="AA583" s="1126"/>
      <c r="AB583" s="1126"/>
    </row>
    <row r="584" ht="15.75" customHeight="1">
      <c r="B584" s="1126"/>
      <c r="C584" s="1126"/>
      <c r="D584" s="1126"/>
      <c r="E584" s="1126"/>
      <c r="F584" s="1126"/>
      <c r="G584" s="1126"/>
      <c r="H584" s="1126"/>
      <c r="I584" s="1126"/>
      <c r="J584" s="1126"/>
      <c r="K584" s="1126"/>
      <c r="L584" s="1126"/>
      <c r="M584" s="1126"/>
      <c r="N584" s="1126"/>
      <c r="O584" s="1126"/>
      <c r="P584" s="1126"/>
      <c r="Q584" s="1126"/>
      <c r="R584" s="1126"/>
      <c r="S584" s="1126"/>
      <c r="T584" s="1126"/>
      <c r="U584" s="1126"/>
      <c r="V584" s="1126"/>
      <c r="W584" s="1126"/>
      <c r="X584" s="1126"/>
      <c r="Y584" s="1126"/>
      <c r="Z584" s="1126"/>
      <c r="AA584" s="1126"/>
      <c r="AB584" s="1126"/>
    </row>
    <row r="585" ht="15.75" customHeight="1">
      <c r="B585" s="1126"/>
      <c r="C585" s="1126"/>
      <c r="D585" s="1126"/>
      <c r="E585" s="1126"/>
      <c r="F585" s="1126"/>
      <c r="G585" s="1126"/>
      <c r="H585" s="1126"/>
      <c r="I585" s="1126"/>
      <c r="J585" s="1126"/>
      <c r="K585" s="1126"/>
      <c r="L585" s="1126"/>
      <c r="M585" s="1126"/>
      <c r="N585" s="1126"/>
      <c r="O585" s="1126"/>
      <c r="P585" s="1126"/>
      <c r="Q585" s="1126"/>
      <c r="R585" s="1126"/>
      <c r="S585" s="1126"/>
      <c r="T585" s="1126"/>
      <c r="U585" s="1126"/>
      <c r="V585" s="1126"/>
      <c r="W585" s="1126"/>
      <c r="X585" s="1126"/>
      <c r="Y585" s="1126"/>
      <c r="Z585" s="1126"/>
      <c r="AA585" s="1126"/>
      <c r="AB585" s="1126"/>
    </row>
    <row r="586" ht="15.75" customHeight="1">
      <c r="B586" s="1126"/>
      <c r="C586" s="1126"/>
      <c r="D586" s="1126"/>
      <c r="E586" s="1126"/>
      <c r="F586" s="1126"/>
      <c r="G586" s="1126"/>
      <c r="H586" s="1126"/>
      <c r="I586" s="1126"/>
      <c r="J586" s="1126"/>
      <c r="K586" s="1126"/>
      <c r="L586" s="1126"/>
      <c r="M586" s="1126"/>
      <c r="N586" s="1126"/>
      <c r="O586" s="1126"/>
      <c r="P586" s="1126"/>
      <c r="Q586" s="1126"/>
      <c r="R586" s="1126"/>
      <c r="S586" s="1126"/>
      <c r="T586" s="1126"/>
      <c r="U586" s="1126"/>
      <c r="V586" s="1126"/>
      <c r="W586" s="1126"/>
      <c r="X586" s="1126"/>
      <c r="Y586" s="1126"/>
      <c r="Z586" s="1126"/>
      <c r="AA586" s="1126"/>
      <c r="AB586" s="1126"/>
    </row>
    <row r="587" ht="15.75" customHeight="1">
      <c r="B587" s="1126"/>
      <c r="C587" s="1126"/>
      <c r="D587" s="1126"/>
      <c r="E587" s="1126"/>
      <c r="F587" s="1126"/>
      <c r="G587" s="1126"/>
      <c r="H587" s="1126"/>
      <c r="I587" s="1126"/>
      <c r="J587" s="1126"/>
      <c r="K587" s="1126"/>
      <c r="L587" s="1126"/>
      <c r="M587" s="1126"/>
      <c r="N587" s="1126"/>
      <c r="O587" s="1126"/>
      <c r="P587" s="1126"/>
      <c r="Q587" s="1126"/>
      <c r="R587" s="1126"/>
      <c r="S587" s="1126"/>
      <c r="T587" s="1126"/>
      <c r="U587" s="1126"/>
      <c r="V587" s="1126"/>
      <c r="W587" s="1126"/>
      <c r="X587" s="1126"/>
      <c r="Y587" s="1126"/>
      <c r="Z587" s="1126"/>
      <c r="AA587" s="1126"/>
      <c r="AB587" s="1126"/>
    </row>
    <row r="588" ht="15.75" customHeight="1">
      <c r="B588" s="1126"/>
      <c r="C588" s="1126"/>
      <c r="D588" s="1126"/>
      <c r="E588" s="1126"/>
      <c r="F588" s="1126"/>
      <c r="G588" s="1126"/>
      <c r="H588" s="1126"/>
      <c r="I588" s="1126"/>
      <c r="J588" s="1126"/>
      <c r="K588" s="1126"/>
      <c r="L588" s="1126"/>
      <c r="M588" s="1126"/>
      <c r="N588" s="1126"/>
      <c r="O588" s="1126"/>
      <c r="P588" s="1126"/>
      <c r="Q588" s="1126"/>
      <c r="R588" s="1126"/>
      <c r="S588" s="1126"/>
      <c r="T588" s="1126"/>
      <c r="U588" s="1126"/>
      <c r="V588" s="1126"/>
      <c r="W588" s="1126"/>
      <c r="X588" s="1126"/>
      <c r="Y588" s="1126"/>
      <c r="Z588" s="1126"/>
      <c r="AA588" s="1126"/>
      <c r="AB588" s="1126"/>
    </row>
    <row r="589" ht="15.75" customHeight="1">
      <c r="B589" s="1126"/>
      <c r="C589" s="1126"/>
      <c r="D589" s="1126"/>
      <c r="E589" s="1126"/>
      <c r="F589" s="1126"/>
      <c r="G589" s="1126"/>
      <c r="H589" s="1126"/>
      <c r="I589" s="1126"/>
      <c r="J589" s="1126"/>
      <c r="K589" s="1126"/>
      <c r="L589" s="1126"/>
      <c r="M589" s="1126"/>
      <c r="N589" s="1126"/>
      <c r="O589" s="1126"/>
      <c r="P589" s="1126"/>
      <c r="Q589" s="1126"/>
      <c r="R589" s="1126"/>
      <c r="S589" s="1126"/>
      <c r="T589" s="1126"/>
      <c r="U589" s="1126"/>
      <c r="V589" s="1126"/>
      <c r="W589" s="1126"/>
      <c r="X589" s="1126"/>
      <c r="Y589" s="1126"/>
      <c r="Z589" s="1126"/>
      <c r="AA589" s="1126"/>
      <c r="AB589" s="1126"/>
    </row>
    <row r="590" ht="15.75" customHeight="1">
      <c r="B590" s="1126"/>
      <c r="C590" s="1126"/>
      <c r="D590" s="1126"/>
      <c r="E590" s="1126"/>
      <c r="F590" s="1126"/>
      <c r="G590" s="1126"/>
      <c r="H590" s="1126"/>
      <c r="I590" s="1126"/>
      <c r="J590" s="1126"/>
      <c r="K590" s="1126"/>
      <c r="L590" s="1126"/>
      <c r="M590" s="1126"/>
      <c r="N590" s="1126"/>
      <c r="O590" s="1126"/>
      <c r="P590" s="1126"/>
      <c r="Q590" s="1126"/>
      <c r="R590" s="1126"/>
      <c r="S590" s="1126"/>
      <c r="T590" s="1126"/>
      <c r="U590" s="1126"/>
      <c r="V590" s="1126"/>
      <c r="W590" s="1126"/>
      <c r="X590" s="1126"/>
      <c r="Y590" s="1126"/>
      <c r="Z590" s="1126"/>
      <c r="AA590" s="1126"/>
      <c r="AB590" s="1126"/>
    </row>
    <row r="591" ht="15.75" customHeight="1">
      <c r="B591" s="1126"/>
      <c r="C591" s="1126"/>
      <c r="D591" s="1126"/>
      <c r="E591" s="1126"/>
      <c r="F591" s="1126"/>
      <c r="G591" s="1126"/>
      <c r="H591" s="1126"/>
      <c r="I591" s="1126"/>
      <c r="J591" s="1126"/>
      <c r="K591" s="1126"/>
      <c r="L591" s="1126"/>
      <c r="M591" s="1126"/>
      <c r="N591" s="1126"/>
      <c r="O591" s="1126"/>
      <c r="P591" s="1126"/>
      <c r="Q591" s="1126"/>
      <c r="R591" s="1126"/>
      <c r="S591" s="1126"/>
      <c r="T591" s="1126"/>
      <c r="U591" s="1126"/>
      <c r="V591" s="1126"/>
      <c r="W591" s="1126"/>
      <c r="X591" s="1126"/>
      <c r="Y591" s="1126"/>
      <c r="Z591" s="1126"/>
      <c r="AA591" s="1126"/>
      <c r="AB591" s="1126"/>
    </row>
    <row r="592" ht="15.75" customHeight="1">
      <c r="B592" s="1126"/>
      <c r="C592" s="1126"/>
      <c r="D592" s="1126"/>
      <c r="E592" s="1126"/>
      <c r="F592" s="1126"/>
      <c r="G592" s="1126"/>
      <c r="H592" s="1126"/>
      <c r="I592" s="1126"/>
      <c r="J592" s="1126"/>
      <c r="K592" s="1126"/>
      <c r="L592" s="1126"/>
      <c r="M592" s="1126"/>
      <c r="N592" s="1126"/>
      <c r="O592" s="1126"/>
      <c r="P592" s="1126"/>
      <c r="Q592" s="1126"/>
      <c r="R592" s="1126"/>
      <c r="S592" s="1126"/>
      <c r="T592" s="1126"/>
      <c r="U592" s="1126"/>
      <c r="V592" s="1126"/>
      <c r="W592" s="1126"/>
      <c r="X592" s="1126"/>
      <c r="Y592" s="1126"/>
      <c r="Z592" s="1126"/>
      <c r="AA592" s="1126"/>
      <c r="AB592" s="1126"/>
    </row>
    <row r="593" ht="15.75" customHeight="1">
      <c r="B593" s="1126"/>
      <c r="C593" s="1126"/>
      <c r="D593" s="1126"/>
      <c r="E593" s="1126"/>
      <c r="F593" s="1126"/>
      <c r="G593" s="1126"/>
      <c r="H593" s="1126"/>
      <c r="I593" s="1126"/>
      <c r="J593" s="1126"/>
      <c r="K593" s="1126"/>
      <c r="L593" s="1126"/>
      <c r="M593" s="1126"/>
      <c r="N593" s="1126"/>
      <c r="O593" s="1126"/>
      <c r="P593" s="1126"/>
      <c r="Q593" s="1126"/>
      <c r="R593" s="1126"/>
      <c r="S593" s="1126"/>
      <c r="T593" s="1126"/>
      <c r="U593" s="1126"/>
      <c r="V593" s="1126"/>
      <c r="W593" s="1126"/>
      <c r="X593" s="1126"/>
      <c r="Y593" s="1126"/>
      <c r="Z593" s="1126"/>
      <c r="AA593" s="1126"/>
      <c r="AB593" s="1126"/>
    </row>
    <row r="594" ht="15.75" customHeight="1">
      <c r="B594" s="1126"/>
      <c r="C594" s="1126"/>
      <c r="D594" s="1126"/>
      <c r="E594" s="1126"/>
      <c r="F594" s="1126"/>
      <c r="G594" s="1126"/>
      <c r="H594" s="1126"/>
      <c r="I594" s="1126"/>
      <c r="J594" s="1126"/>
      <c r="K594" s="1126"/>
      <c r="L594" s="1126"/>
      <c r="M594" s="1126"/>
      <c r="N594" s="1126"/>
      <c r="O594" s="1126"/>
      <c r="P594" s="1126"/>
      <c r="Q594" s="1126"/>
      <c r="R594" s="1126"/>
      <c r="S594" s="1126"/>
      <c r="T594" s="1126"/>
      <c r="U594" s="1126"/>
      <c r="V594" s="1126"/>
      <c r="W594" s="1126"/>
      <c r="X594" s="1126"/>
      <c r="Y594" s="1126"/>
      <c r="Z594" s="1126"/>
      <c r="AA594" s="1126"/>
      <c r="AB594" s="1126"/>
    </row>
    <row r="595" ht="15.75" customHeight="1">
      <c r="B595" s="1126"/>
      <c r="C595" s="1126"/>
      <c r="D595" s="1126"/>
      <c r="E595" s="1126"/>
      <c r="F595" s="1126"/>
      <c r="G595" s="1126"/>
      <c r="H595" s="1126"/>
      <c r="I595" s="1126"/>
      <c r="J595" s="1126"/>
      <c r="K595" s="1126"/>
      <c r="L595" s="1126"/>
      <c r="M595" s="1126"/>
      <c r="N595" s="1126"/>
      <c r="O595" s="1126"/>
      <c r="P595" s="1126"/>
      <c r="Q595" s="1126"/>
      <c r="R595" s="1126"/>
      <c r="S595" s="1126"/>
      <c r="T595" s="1126"/>
      <c r="U595" s="1126"/>
      <c r="V595" s="1126"/>
      <c r="W595" s="1126"/>
      <c r="X595" s="1126"/>
      <c r="Y595" s="1126"/>
      <c r="Z595" s="1126"/>
      <c r="AA595" s="1126"/>
      <c r="AB595" s="1126"/>
    </row>
    <row r="596" ht="15.75" customHeight="1">
      <c r="B596" s="1126"/>
      <c r="C596" s="1126"/>
      <c r="D596" s="1126"/>
      <c r="E596" s="1126"/>
      <c r="F596" s="1126"/>
      <c r="G596" s="1126"/>
      <c r="H596" s="1126"/>
      <c r="I596" s="1126"/>
      <c r="J596" s="1126"/>
      <c r="K596" s="1126"/>
      <c r="L596" s="1126"/>
      <c r="M596" s="1126"/>
      <c r="N596" s="1126"/>
      <c r="O596" s="1126"/>
      <c r="P596" s="1126"/>
      <c r="Q596" s="1126"/>
      <c r="R596" s="1126"/>
      <c r="S596" s="1126"/>
      <c r="T596" s="1126"/>
      <c r="U596" s="1126"/>
      <c r="V596" s="1126"/>
      <c r="W596" s="1126"/>
      <c r="X596" s="1126"/>
      <c r="Y596" s="1126"/>
      <c r="Z596" s="1126"/>
      <c r="AA596" s="1126"/>
      <c r="AB596" s="1126"/>
    </row>
    <row r="597" ht="15.75" customHeight="1">
      <c r="B597" s="1126"/>
      <c r="C597" s="1126"/>
      <c r="D597" s="1126"/>
      <c r="E597" s="1126"/>
      <c r="F597" s="1126"/>
      <c r="G597" s="1126"/>
      <c r="H597" s="1126"/>
      <c r="I597" s="1126"/>
      <c r="J597" s="1126"/>
      <c r="K597" s="1126"/>
      <c r="L597" s="1126"/>
      <c r="M597" s="1126"/>
      <c r="N597" s="1126"/>
      <c r="O597" s="1126"/>
      <c r="P597" s="1126"/>
      <c r="Q597" s="1126"/>
      <c r="R597" s="1126"/>
      <c r="S597" s="1126"/>
      <c r="T597" s="1126"/>
      <c r="U597" s="1126"/>
      <c r="V597" s="1126"/>
      <c r="W597" s="1126"/>
      <c r="X597" s="1126"/>
      <c r="Y597" s="1126"/>
      <c r="Z597" s="1126"/>
      <c r="AA597" s="1126"/>
      <c r="AB597" s="1126"/>
    </row>
    <row r="598" ht="15.75" customHeight="1">
      <c r="B598" s="1126"/>
      <c r="C598" s="1126"/>
      <c r="D598" s="1126"/>
      <c r="E598" s="1126"/>
      <c r="F598" s="1126"/>
      <c r="G598" s="1126"/>
      <c r="H598" s="1126"/>
      <c r="I598" s="1126"/>
      <c r="J598" s="1126"/>
      <c r="K598" s="1126"/>
      <c r="L598" s="1126"/>
      <c r="M598" s="1126"/>
      <c r="N598" s="1126"/>
      <c r="O598" s="1126"/>
      <c r="P598" s="1126"/>
      <c r="Q598" s="1126"/>
      <c r="R598" s="1126"/>
      <c r="S598" s="1126"/>
      <c r="T598" s="1126"/>
      <c r="U598" s="1126"/>
      <c r="V598" s="1126"/>
      <c r="W598" s="1126"/>
      <c r="X598" s="1126"/>
      <c r="Y598" s="1126"/>
      <c r="Z598" s="1126"/>
      <c r="AA598" s="1126"/>
      <c r="AB598" s="1126"/>
    </row>
    <row r="599" ht="15.75" customHeight="1">
      <c r="B599" s="1126"/>
      <c r="C599" s="1126"/>
      <c r="D599" s="1126"/>
      <c r="E599" s="1126"/>
      <c r="F599" s="1126"/>
      <c r="G599" s="1126"/>
      <c r="H599" s="1126"/>
      <c r="I599" s="1126"/>
      <c r="J599" s="1126"/>
      <c r="K599" s="1126"/>
      <c r="L599" s="1126"/>
      <c r="M599" s="1126"/>
      <c r="N599" s="1126"/>
      <c r="O599" s="1126"/>
      <c r="P599" s="1126"/>
      <c r="Q599" s="1126"/>
      <c r="R599" s="1126"/>
      <c r="S599" s="1126"/>
      <c r="T599" s="1126"/>
      <c r="U599" s="1126"/>
      <c r="V599" s="1126"/>
      <c r="W599" s="1126"/>
      <c r="X599" s="1126"/>
      <c r="Y599" s="1126"/>
      <c r="Z599" s="1126"/>
      <c r="AA599" s="1126"/>
      <c r="AB599" s="1126"/>
    </row>
    <row r="600" ht="15.75" customHeight="1">
      <c r="B600" s="1126"/>
      <c r="C600" s="1126"/>
      <c r="D600" s="1126"/>
      <c r="E600" s="1126"/>
      <c r="F600" s="1126"/>
      <c r="G600" s="1126"/>
      <c r="H600" s="1126"/>
      <c r="I600" s="1126"/>
      <c r="J600" s="1126"/>
      <c r="K600" s="1126"/>
      <c r="L600" s="1126"/>
      <c r="M600" s="1126"/>
      <c r="N600" s="1126"/>
      <c r="O600" s="1126"/>
      <c r="P600" s="1126"/>
      <c r="Q600" s="1126"/>
      <c r="R600" s="1126"/>
      <c r="S600" s="1126"/>
      <c r="T600" s="1126"/>
      <c r="U600" s="1126"/>
      <c r="V600" s="1126"/>
      <c r="W600" s="1126"/>
      <c r="X600" s="1126"/>
      <c r="Y600" s="1126"/>
      <c r="Z600" s="1126"/>
      <c r="AA600" s="1126"/>
      <c r="AB600" s="1126"/>
    </row>
    <row r="601" ht="15.75" customHeight="1">
      <c r="B601" s="1126"/>
      <c r="C601" s="1126"/>
      <c r="D601" s="1126"/>
      <c r="E601" s="1126"/>
      <c r="F601" s="1126"/>
      <c r="G601" s="1126"/>
      <c r="H601" s="1126"/>
      <c r="I601" s="1126"/>
      <c r="J601" s="1126"/>
      <c r="K601" s="1126"/>
      <c r="L601" s="1126"/>
      <c r="M601" s="1126"/>
      <c r="N601" s="1126"/>
      <c r="O601" s="1126"/>
      <c r="P601" s="1126"/>
      <c r="Q601" s="1126"/>
      <c r="R601" s="1126"/>
      <c r="S601" s="1126"/>
      <c r="T601" s="1126"/>
      <c r="U601" s="1126"/>
      <c r="V601" s="1126"/>
      <c r="W601" s="1126"/>
      <c r="X601" s="1126"/>
      <c r="Y601" s="1126"/>
      <c r="Z601" s="1126"/>
      <c r="AA601" s="1126"/>
      <c r="AB601" s="1126"/>
    </row>
    <row r="602" ht="15.75" customHeight="1">
      <c r="B602" s="1126"/>
      <c r="C602" s="1126"/>
      <c r="D602" s="1126"/>
      <c r="E602" s="1126"/>
      <c r="F602" s="1126"/>
      <c r="G602" s="1126"/>
      <c r="H602" s="1126"/>
      <c r="I602" s="1126"/>
      <c r="J602" s="1126"/>
      <c r="K602" s="1126"/>
      <c r="L602" s="1126"/>
      <c r="M602" s="1126"/>
      <c r="N602" s="1126"/>
      <c r="O602" s="1126"/>
      <c r="P602" s="1126"/>
      <c r="Q602" s="1126"/>
      <c r="R602" s="1126"/>
      <c r="S602" s="1126"/>
      <c r="T602" s="1126"/>
      <c r="U602" s="1126"/>
      <c r="V602" s="1126"/>
      <c r="W602" s="1126"/>
      <c r="X602" s="1126"/>
      <c r="Y602" s="1126"/>
      <c r="Z602" s="1126"/>
      <c r="AA602" s="1126"/>
      <c r="AB602" s="1126"/>
    </row>
    <row r="603" ht="15.75" customHeight="1">
      <c r="B603" s="1126"/>
      <c r="C603" s="1126"/>
      <c r="D603" s="1126"/>
      <c r="E603" s="1126"/>
      <c r="F603" s="1126"/>
      <c r="G603" s="1126"/>
      <c r="H603" s="1126"/>
      <c r="I603" s="1126"/>
      <c r="J603" s="1126"/>
      <c r="K603" s="1126"/>
      <c r="L603" s="1126"/>
      <c r="M603" s="1126"/>
      <c r="N603" s="1126"/>
      <c r="O603" s="1126"/>
      <c r="P603" s="1126"/>
      <c r="Q603" s="1126"/>
      <c r="R603" s="1126"/>
      <c r="S603" s="1126"/>
      <c r="T603" s="1126"/>
      <c r="U603" s="1126"/>
      <c r="V603" s="1126"/>
      <c r="W603" s="1126"/>
      <c r="X603" s="1126"/>
      <c r="Y603" s="1126"/>
      <c r="Z603" s="1126"/>
      <c r="AA603" s="1126"/>
      <c r="AB603" s="1126"/>
    </row>
    <row r="604" ht="15.75" customHeight="1">
      <c r="B604" s="1126"/>
      <c r="C604" s="1126"/>
      <c r="D604" s="1126"/>
      <c r="E604" s="1126"/>
      <c r="F604" s="1126"/>
      <c r="G604" s="1126"/>
      <c r="H604" s="1126"/>
      <c r="I604" s="1126"/>
      <c r="J604" s="1126"/>
      <c r="K604" s="1126"/>
      <c r="L604" s="1126"/>
      <c r="M604" s="1126"/>
      <c r="N604" s="1126"/>
      <c r="O604" s="1126"/>
      <c r="P604" s="1126"/>
      <c r="Q604" s="1126"/>
      <c r="R604" s="1126"/>
      <c r="S604" s="1126"/>
      <c r="T604" s="1126"/>
      <c r="U604" s="1126"/>
      <c r="V604" s="1126"/>
      <c r="W604" s="1126"/>
      <c r="X604" s="1126"/>
      <c r="Y604" s="1126"/>
      <c r="Z604" s="1126"/>
      <c r="AA604" s="1126"/>
      <c r="AB604" s="1126"/>
    </row>
    <row r="605" ht="15.75" customHeight="1">
      <c r="B605" s="1126"/>
      <c r="C605" s="1126"/>
      <c r="D605" s="1126"/>
      <c r="E605" s="1126"/>
      <c r="F605" s="1126"/>
      <c r="G605" s="1126"/>
      <c r="H605" s="1126"/>
      <c r="I605" s="1126"/>
      <c r="J605" s="1126"/>
      <c r="K605" s="1126"/>
      <c r="L605" s="1126"/>
      <c r="M605" s="1126"/>
      <c r="N605" s="1126"/>
      <c r="O605" s="1126"/>
      <c r="P605" s="1126"/>
      <c r="Q605" s="1126"/>
      <c r="R605" s="1126"/>
      <c r="S605" s="1126"/>
      <c r="T605" s="1126"/>
      <c r="U605" s="1126"/>
      <c r="V605" s="1126"/>
      <c r="W605" s="1126"/>
      <c r="X605" s="1126"/>
      <c r="Y605" s="1126"/>
      <c r="Z605" s="1126"/>
      <c r="AA605" s="1126"/>
      <c r="AB605" s="1126"/>
    </row>
    <row r="606" ht="15.75" customHeight="1">
      <c r="B606" s="1126"/>
      <c r="C606" s="1126"/>
      <c r="D606" s="1126"/>
      <c r="E606" s="1126"/>
      <c r="F606" s="1126"/>
      <c r="G606" s="1126"/>
      <c r="H606" s="1126"/>
      <c r="I606" s="1126"/>
      <c r="J606" s="1126"/>
      <c r="K606" s="1126"/>
      <c r="L606" s="1126"/>
      <c r="M606" s="1126"/>
      <c r="N606" s="1126"/>
      <c r="O606" s="1126"/>
      <c r="P606" s="1126"/>
      <c r="Q606" s="1126"/>
      <c r="R606" s="1126"/>
      <c r="S606" s="1126"/>
      <c r="T606" s="1126"/>
      <c r="U606" s="1126"/>
      <c r="V606" s="1126"/>
      <c r="W606" s="1126"/>
      <c r="X606" s="1126"/>
      <c r="Y606" s="1126"/>
      <c r="Z606" s="1126"/>
      <c r="AA606" s="1126"/>
      <c r="AB606" s="1126"/>
    </row>
    <row r="607" ht="15.75" customHeight="1">
      <c r="B607" s="1126"/>
      <c r="C607" s="1126"/>
      <c r="D607" s="1126"/>
      <c r="E607" s="1126"/>
      <c r="F607" s="1126"/>
      <c r="G607" s="1126"/>
      <c r="H607" s="1126"/>
      <c r="I607" s="1126"/>
      <c r="J607" s="1126"/>
      <c r="K607" s="1126"/>
      <c r="L607" s="1126"/>
      <c r="M607" s="1126"/>
      <c r="N607" s="1126"/>
      <c r="O607" s="1126"/>
      <c r="P607" s="1126"/>
      <c r="Q607" s="1126"/>
      <c r="R607" s="1126"/>
      <c r="S607" s="1126"/>
      <c r="T607" s="1126"/>
      <c r="U607" s="1126"/>
      <c r="V607" s="1126"/>
      <c r="W607" s="1126"/>
      <c r="X607" s="1126"/>
      <c r="Y607" s="1126"/>
      <c r="Z607" s="1126"/>
      <c r="AA607" s="1126"/>
      <c r="AB607" s="1126"/>
    </row>
    <row r="608" ht="15.75" customHeight="1">
      <c r="B608" s="1126"/>
      <c r="C608" s="1126"/>
      <c r="D608" s="1126"/>
      <c r="E608" s="1126"/>
      <c r="F608" s="1126"/>
      <c r="G608" s="1126"/>
      <c r="H608" s="1126"/>
      <c r="I608" s="1126"/>
      <c r="J608" s="1126"/>
      <c r="K608" s="1126"/>
      <c r="L608" s="1126"/>
      <c r="M608" s="1126"/>
      <c r="N608" s="1126"/>
      <c r="O608" s="1126"/>
      <c r="P608" s="1126"/>
      <c r="Q608" s="1126"/>
      <c r="R608" s="1126"/>
      <c r="S608" s="1126"/>
      <c r="T608" s="1126"/>
      <c r="U608" s="1126"/>
      <c r="V608" s="1126"/>
      <c r="W608" s="1126"/>
      <c r="X608" s="1126"/>
      <c r="Y608" s="1126"/>
      <c r="Z608" s="1126"/>
      <c r="AA608" s="1126"/>
      <c r="AB608" s="1126"/>
    </row>
    <row r="609" ht="15.75" customHeight="1">
      <c r="B609" s="1126"/>
      <c r="C609" s="1126"/>
      <c r="D609" s="1126"/>
      <c r="E609" s="1126"/>
      <c r="F609" s="1126"/>
      <c r="G609" s="1126"/>
      <c r="H609" s="1126"/>
      <c r="I609" s="1126"/>
      <c r="J609" s="1126"/>
      <c r="K609" s="1126"/>
      <c r="L609" s="1126"/>
      <c r="M609" s="1126"/>
      <c r="N609" s="1126"/>
      <c r="O609" s="1126"/>
      <c r="P609" s="1126"/>
      <c r="Q609" s="1126"/>
      <c r="R609" s="1126"/>
      <c r="S609" s="1126"/>
      <c r="T609" s="1126"/>
      <c r="U609" s="1126"/>
      <c r="V609" s="1126"/>
      <c r="W609" s="1126"/>
      <c r="X609" s="1126"/>
      <c r="Y609" s="1126"/>
      <c r="Z609" s="1126"/>
      <c r="AA609" s="1126"/>
      <c r="AB609" s="1126"/>
    </row>
    <row r="610" ht="15.75" customHeight="1">
      <c r="B610" s="1126"/>
      <c r="C610" s="1126"/>
      <c r="D610" s="1126"/>
      <c r="E610" s="1126"/>
      <c r="F610" s="1126"/>
      <c r="G610" s="1126"/>
      <c r="H610" s="1126"/>
      <c r="I610" s="1126"/>
      <c r="J610" s="1126"/>
      <c r="K610" s="1126"/>
      <c r="L610" s="1126"/>
      <c r="M610" s="1126"/>
      <c r="N610" s="1126"/>
      <c r="O610" s="1126"/>
      <c r="P610" s="1126"/>
      <c r="Q610" s="1126"/>
      <c r="R610" s="1126"/>
      <c r="S610" s="1126"/>
      <c r="T610" s="1126"/>
      <c r="U610" s="1126"/>
      <c r="V610" s="1126"/>
      <c r="W610" s="1126"/>
      <c r="X610" s="1126"/>
      <c r="Y610" s="1126"/>
      <c r="Z610" s="1126"/>
      <c r="AA610" s="1126"/>
      <c r="AB610" s="1126"/>
    </row>
    <row r="611" ht="15.75" customHeight="1">
      <c r="B611" s="1126"/>
      <c r="C611" s="1126"/>
      <c r="D611" s="1126"/>
      <c r="E611" s="1126"/>
      <c r="F611" s="1126"/>
      <c r="G611" s="1126"/>
      <c r="H611" s="1126"/>
      <c r="I611" s="1126"/>
      <c r="J611" s="1126"/>
      <c r="K611" s="1126"/>
      <c r="L611" s="1126"/>
      <c r="M611" s="1126"/>
      <c r="N611" s="1126"/>
      <c r="O611" s="1126"/>
      <c r="P611" s="1126"/>
      <c r="Q611" s="1126"/>
      <c r="R611" s="1126"/>
      <c r="S611" s="1126"/>
      <c r="T611" s="1126"/>
      <c r="U611" s="1126"/>
      <c r="V611" s="1126"/>
      <c r="W611" s="1126"/>
      <c r="X611" s="1126"/>
      <c r="Y611" s="1126"/>
      <c r="Z611" s="1126"/>
      <c r="AA611" s="1126"/>
      <c r="AB611" s="1126"/>
    </row>
    <row r="612" ht="15.75" customHeight="1">
      <c r="B612" s="1126"/>
      <c r="C612" s="1126"/>
      <c r="D612" s="1126"/>
      <c r="E612" s="1126"/>
      <c r="F612" s="1126"/>
      <c r="G612" s="1126"/>
      <c r="H612" s="1126"/>
      <c r="I612" s="1126"/>
      <c r="J612" s="1126"/>
      <c r="K612" s="1126"/>
      <c r="L612" s="1126"/>
      <c r="M612" s="1126"/>
      <c r="N612" s="1126"/>
      <c r="O612" s="1126"/>
      <c r="P612" s="1126"/>
      <c r="Q612" s="1126"/>
      <c r="R612" s="1126"/>
      <c r="S612" s="1126"/>
      <c r="T612" s="1126"/>
      <c r="U612" s="1126"/>
      <c r="V612" s="1126"/>
      <c r="W612" s="1126"/>
      <c r="X612" s="1126"/>
      <c r="Y612" s="1126"/>
      <c r="Z612" s="1126"/>
      <c r="AA612" s="1126"/>
      <c r="AB612" s="1126"/>
    </row>
    <row r="613" ht="15.75" customHeight="1">
      <c r="B613" s="1126"/>
      <c r="C613" s="1126"/>
      <c r="D613" s="1126"/>
      <c r="E613" s="1126"/>
      <c r="F613" s="1126"/>
      <c r="G613" s="1126"/>
      <c r="H613" s="1126"/>
      <c r="I613" s="1126"/>
      <c r="J613" s="1126"/>
      <c r="K613" s="1126"/>
      <c r="L613" s="1126"/>
      <c r="M613" s="1126"/>
      <c r="N613" s="1126"/>
      <c r="O613" s="1126"/>
      <c r="P613" s="1126"/>
      <c r="Q613" s="1126"/>
      <c r="R613" s="1126"/>
      <c r="S613" s="1126"/>
      <c r="T613" s="1126"/>
      <c r="U613" s="1126"/>
      <c r="V613" s="1126"/>
      <c r="W613" s="1126"/>
      <c r="X613" s="1126"/>
      <c r="Y613" s="1126"/>
      <c r="Z613" s="1126"/>
      <c r="AA613" s="1126"/>
      <c r="AB613" s="1126"/>
    </row>
    <row r="614" ht="15.75" customHeight="1">
      <c r="B614" s="1126"/>
      <c r="C614" s="1126"/>
      <c r="D614" s="1126"/>
      <c r="E614" s="1126"/>
      <c r="F614" s="1126"/>
      <c r="G614" s="1126"/>
      <c r="H614" s="1126"/>
      <c r="I614" s="1126"/>
      <c r="J614" s="1126"/>
      <c r="K614" s="1126"/>
      <c r="L614" s="1126"/>
      <c r="M614" s="1126"/>
      <c r="N614" s="1126"/>
      <c r="O614" s="1126"/>
      <c r="P614" s="1126"/>
      <c r="Q614" s="1126"/>
      <c r="R614" s="1126"/>
      <c r="S614" s="1126"/>
      <c r="T614" s="1126"/>
      <c r="U614" s="1126"/>
      <c r="V614" s="1126"/>
      <c r="W614" s="1126"/>
      <c r="X614" s="1126"/>
      <c r="Y614" s="1126"/>
      <c r="Z614" s="1126"/>
      <c r="AA614" s="1126"/>
      <c r="AB614" s="1126"/>
    </row>
    <row r="615" ht="15.75" customHeight="1">
      <c r="B615" s="1126"/>
      <c r="C615" s="1126"/>
      <c r="D615" s="1126"/>
      <c r="E615" s="1126"/>
      <c r="F615" s="1126"/>
      <c r="G615" s="1126"/>
      <c r="H615" s="1126"/>
      <c r="I615" s="1126"/>
      <c r="J615" s="1126"/>
      <c r="K615" s="1126"/>
      <c r="L615" s="1126"/>
      <c r="M615" s="1126"/>
      <c r="N615" s="1126"/>
      <c r="O615" s="1126"/>
      <c r="P615" s="1126"/>
      <c r="Q615" s="1126"/>
      <c r="R615" s="1126"/>
      <c r="S615" s="1126"/>
      <c r="T615" s="1126"/>
      <c r="U615" s="1126"/>
      <c r="V615" s="1126"/>
      <c r="W615" s="1126"/>
      <c r="X615" s="1126"/>
      <c r="Y615" s="1126"/>
      <c r="Z615" s="1126"/>
      <c r="AA615" s="1126"/>
      <c r="AB615" s="1126"/>
    </row>
    <row r="616" ht="15.75" customHeight="1">
      <c r="B616" s="1126"/>
      <c r="C616" s="1126"/>
      <c r="D616" s="1126"/>
      <c r="E616" s="1126"/>
      <c r="F616" s="1126"/>
      <c r="G616" s="1126"/>
      <c r="H616" s="1126"/>
      <c r="I616" s="1126"/>
      <c r="J616" s="1126"/>
      <c r="K616" s="1126"/>
      <c r="L616" s="1126"/>
      <c r="M616" s="1126"/>
      <c r="N616" s="1126"/>
      <c r="O616" s="1126"/>
      <c r="P616" s="1126"/>
      <c r="Q616" s="1126"/>
      <c r="R616" s="1126"/>
      <c r="S616" s="1126"/>
      <c r="T616" s="1126"/>
      <c r="U616" s="1126"/>
      <c r="V616" s="1126"/>
      <c r="W616" s="1126"/>
      <c r="X616" s="1126"/>
      <c r="Y616" s="1126"/>
      <c r="Z616" s="1126"/>
      <c r="AA616" s="1126"/>
      <c r="AB616" s="1126"/>
    </row>
    <row r="617" ht="15.75" customHeight="1">
      <c r="B617" s="1126"/>
      <c r="C617" s="1126"/>
      <c r="D617" s="1126"/>
      <c r="E617" s="1126"/>
      <c r="F617" s="1126"/>
      <c r="G617" s="1126"/>
      <c r="H617" s="1126"/>
      <c r="I617" s="1126"/>
      <c r="J617" s="1126"/>
      <c r="K617" s="1126"/>
      <c r="L617" s="1126"/>
      <c r="M617" s="1126"/>
      <c r="N617" s="1126"/>
      <c r="O617" s="1126"/>
      <c r="P617" s="1126"/>
      <c r="Q617" s="1126"/>
      <c r="R617" s="1126"/>
      <c r="S617" s="1126"/>
      <c r="T617" s="1126"/>
      <c r="U617" s="1126"/>
      <c r="V617" s="1126"/>
      <c r="W617" s="1126"/>
      <c r="X617" s="1126"/>
      <c r="Y617" s="1126"/>
      <c r="Z617" s="1126"/>
      <c r="AA617" s="1126"/>
      <c r="AB617" s="1126"/>
    </row>
    <row r="618" ht="15.75" customHeight="1">
      <c r="B618" s="1126"/>
      <c r="C618" s="1126"/>
      <c r="D618" s="1126"/>
      <c r="E618" s="1126"/>
      <c r="F618" s="1126"/>
      <c r="G618" s="1126"/>
      <c r="H618" s="1126"/>
      <c r="I618" s="1126"/>
      <c r="J618" s="1126"/>
      <c r="K618" s="1126"/>
      <c r="L618" s="1126"/>
      <c r="M618" s="1126"/>
      <c r="N618" s="1126"/>
      <c r="O618" s="1126"/>
      <c r="P618" s="1126"/>
      <c r="Q618" s="1126"/>
      <c r="R618" s="1126"/>
      <c r="S618" s="1126"/>
      <c r="T618" s="1126"/>
      <c r="U618" s="1126"/>
      <c r="V618" s="1126"/>
      <c r="W618" s="1126"/>
      <c r="X618" s="1126"/>
      <c r="Y618" s="1126"/>
      <c r="Z618" s="1126"/>
      <c r="AA618" s="1126"/>
      <c r="AB618" s="1126"/>
    </row>
    <row r="619" ht="15.75" customHeight="1">
      <c r="B619" s="1126"/>
      <c r="C619" s="1126"/>
      <c r="D619" s="1126"/>
      <c r="E619" s="1126"/>
      <c r="F619" s="1126"/>
      <c r="G619" s="1126"/>
      <c r="H619" s="1126"/>
      <c r="I619" s="1126"/>
      <c r="J619" s="1126"/>
      <c r="K619" s="1126"/>
      <c r="L619" s="1126"/>
      <c r="M619" s="1126"/>
      <c r="N619" s="1126"/>
      <c r="O619" s="1126"/>
      <c r="P619" s="1126"/>
      <c r="Q619" s="1126"/>
      <c r="R619" s="1126"/>
      <c r="S619" s="1126"/>
      <c r="T619" s="1126"/>
      <c r="U619" s="1126"/>
      <c r="V619" s="1126"/>
      <c r="W619" s="1126"/>
      <c r="X619" s="1126"/>
      <c r="Y619" s="1126"/>
      <c r="Z619" s="1126"/>
      <c r="AA619" s="1126"/>
      <c r="AB619" s="1126"/>
    </row>
    <row r="620" ht="15.75" customHeight="1">
      <c r="B620" s="1126"/>
      <c r="C620" s="1126"/>
      <c r="D620" s="1126"/>
      <c r="E620" s="1126"/>
      <c r="F620" s="1126"/>
      <c r="G620" s="1126"/>
      <c r="H620" s="1126"/>
      <c r="I620" s="1126"/>
      <c r="J620" s="1126"/>
      <c r="K620" s="1126"/>
      <c r="L620" s="1126"/>
      <c r="M620" s="1126"/>
      <c r="N620" s="1126"/>
      <c r="O620" s="1126"/>
      <c r="P620" s="1126"/>
      <c r="Q620" s="1126"/>
      <c r="R620" s="1126"/>
      <c r="S620" s="1126"/>
      <c r="T620" s="1126"/>
      <c r="U620" s="1126"/>
      <c r="V620" s="1126"/>
      <c r="W620" s="1126"/>
      <c r="X620" s="1126"/>
      <c r="Y620" s="1126"/>
      <c r="Z620" s="1126"/>
      <c r="AA620" s="1126"/>
      <c r="AB620" s="1126"/>
    </row>
    <row r="621" ht="15.75" customHeight="1">
      <c r="B621" s="1126"/>
      <c r="C621" s="1126"/>
      <c r="D621" s="1126"/>
      <c r="E621" s="1126"/>
      <c r="F621" s="1126"/>
      <c r="G621" s="1126"/>
      <c r="H621" s="1126"/>
      <c r="I621" s="1126"/>
      <c r="J621" s="1126"/>
      <c r="K621" s="1126"/>
      <c r="L621" s="1126"/>
      <c r="M621" s="1126"/>
      <c r="N621" s="1126"/>
      <c r="O621" s="1126"/>
      <c r="P621" s="1126"/>
      <c r="Q621" s="1126"/>
      <c r="R621" s="1126"/>
      <c r="S621" s="1126"/>
      <c r="T621" s="1126"/>
      <c r="U621" s="1126"/>
      <c r="V621" s="1126"/>
      <c r="W621" s="1126"/>
      <c r="X621" s="1126"/>
      <c r="Y621" s="1126"/>
      <c r="Z621" s="1126"/>
      <c r="AA621" s="1126"/>
      <c r="AB621" s="1126"/>
    </row>
    <row r="622" ht="15.75" customHeight="1">
      <c r="B622" s="1126"/>
      <c r="C622" s="1126"/>
      <c r="D622" s="1126"/>
      <c r="E622" s="1126"/>
      <c r="F622" s="1126"/>
      <c r="G622" s="1126"/>
      <c r="H622" s="1126"/>
      <c r="I622" s="1126"/>
      <c r="J622" s="1126"/>
      <c r="K622" s="1126"/>
      <c r="L622" s="1126"/>
      <c r="M622" s="1126"/>
      <c r="N622" s="1126"/>
      <c r="O622" s="1126"/>
      <c r="P622" s="1126"/>
      <c r="Q622" s="1126"/>
      <c r="R622" s="1126"/>
      <c r="S622" s="1126"/>
      <c r="T622" s="1126"/>
      <c r="U622" s="1126"/>
      <c r="V622" s="1126"/>
      <c r="W622" s="1126"/>
      <c r="X622" s="1126"/>
      <c r="Y622" s="1126"/>
      <c r="Z622" s="1126"/>
      <c r="AA622" s="1126"/>
      <c r="AB622" s="1126"/>
    </row>
    <row r="623" ht="15.75" customHeight="1">
      <c r="B623" s="1126"/>
      <c r="C623" s="1126"/>
      <c r="D623" s="1126"/>
      <c r="E623" s="1126"/>
      <c r="F623" s="1126"/>
      <c r="G623" s="1126"/>
      <c r="H623" s="1126"/>
      <c r="I623" s="1126"/>
      <c r="J623" s="1126"/>
      <c r="K623" s="1126"/>
      <c r="L623" s="1126"/>
      <c r="M623" s="1126"/>
      <c r="N623" s="1126"/>
      <c r="O623" s="1126"/>
      <c r="P623" s="1126"/>
      <c r="Q623" s="1126"/>
      <c r="R623" s="1126"/>
      <c r="S623" s="1126"/>
      <c r="T623" s="1126"/>
      <c r="U623" s="1126"/>
      <c r="V623" s="1126"/>
      <c r="W623" s="1126"/>
      <c r="X623" s="1126"/>
      <c r="Y623" s="1126"/>
      <c r="Z623" s="1126"/>
      <c r="AA623" s="1126"/>
      <c r="AB623" s="1126"/>
    </row>
    <row r="624" ht="15.75" customHeight="1">
      <c r="B624" s="1126"/>
      <c r="C624" s="1126"/>
      <c r="D624" s="1126"/>
      <c r="E624" s="1126"/>
      <c r="F624" s="1126"/>
      <c r="G624" s="1126"/>
      <c r="H624" s="1126"/>
      <c r="I624" s="1126"/>
      <c r="J624" s="1126"/>
      <c r="K624" s="1126"/>
      <c r="L624" s="1126"/>
      <c r="M624" s="1126"/>
      <c r="N624" s="1126"/>
      <c r="O624" s="1126"/>
      <c r="P624" s="1126"/>
      <c r="Q624" s="1126"/>
      <c r="R624" s="1126"/>
      <c r="S624" s="1126"/>
      <c r="T624" s="1126"/>
      <c r="U624" s="1126"/>
      <c r="V624" s="1126"/>
      <c r="W624" s="1126"/>
      <c r="X624" s="1126"/>
      <c r="Y624" s="1126"/>
      <c r="Z624" s="1126"/>
      <c r="AA624" s="1126"/>
      <c r="AB624" s="1126"/>
    </row>
    <row r="625" ht="15.75" customHeight="1">
      <c r="B625" s="1126"/>
      <c r="C625" s="1126"/>
      <c r="D625" s="1126"/>
      <c r="E625" s="1126"/>
      <c r="F625" s="1126"/>
      <c r="G625" s="1126"/>
      <c r="H625" s="1126"/>
      <c r="I625" s="1126"/>
      <c r="J625" s="1126"/>
      <c r="K625" s="1126"/>
      <c r="L625" s="1126"/>
      <c r="M625" s="1126"/>
      <c r="N625" s="1126"/>
      <c r="O625" s="1126"/>
      <c r="P625" s="1126"/>
      <c r="Q625" s="1126"/>
      <c r="R625" s="1126"/>
      <c r="S625" s="1126"/>
      <c r="T625" s="1126"/>
      <c r="U625" s="1126"/>
      <c r="V625" s="1126"/>
      <c r="W625" s="1126"/>
      <c r="X625" s="1126"/>
      <c r="Y625" s="1126"/>
      <c r="Z625" s="1126"/>
      <c r="AA625" s="1126"/>
      <c r="AB625" s="1126"/>
    </row>
    <row r="626" ht="15.75" customHeight="1">
      <c r="B626" s="1126"/>
      <c r="C626" s="1126"/>
      <c r="D626" s="1126"/>
      <c r="E626" s="1126"/>
      <c r="F626" s="1126"/>
      <c r="G626" s="1126"/>
      <c r="H626" s="1126"/>
      <c r="I626" s="1126"/>
      <c r="J626" s="1126"/>
      <c r="K626" s="1126"/>
      <c r="L626" s="1126"/>
      <c r="M626" s="1126"/>
      <c r="N626" s="1126"/>
      <c r="O626" s="1126"/>
      <c r="P626" s="1126"/>
      <c r="Q626" s="1126"/>
      <c r="R626" s="1126"/>
      <c r="S626" s="1126"/>
      <c r="T626" s="1126"/>
      <c r="U626" s="1126"/>
      <c r="V626" s="1126"/>
      <c r="W626" s="1126"/>
      <c r="X626" s="1126"/>
      <c r="Y626" s="1126"/>
      <c r="Z626" s="1126"/>
      <c r="AA626" s="1126"/>
      <c r="AB626" s="1126"/>
    </row>
    <row r="627" ht="15.75" customHeight="1">
      <c r="B627" s="1126"/>
      <c r="C627" s="1126"/>
      <c r="D627" s="1126"/>
      <c r="E627" s="1126"/>
      <c r="F627" s="1126"/>
      <c r="G627" s="1126"/>
      <c r="H627" s="1126"/>
      <c r="I627" s="1126"/>
      <c r="J627" s="1126"/>
      <c r="K627" s="1126"/>
      <c r="L627" s="1126"/>
      <c r="M627" s="1126"/>
      <c r="N627" s="1126"/>
      <c r="O627" s="1126"/>
      <c r="P627" s="1126"/>
      <c r="Q627" s="1126"/>
      <c r="R627" s="1126"/>
      <c r="S627" s="1126"/>
      <c r="T627" s="1126"/>
      <c r="U627" s="1126"/>
      <c r="V627" s="1126"/>
      <c r="W627" s="1126"/>
      <c r="X627" s="1126"/>
      <c r="Y627" s="1126"/>
      <c r="Z627" s="1126"/>
      <c r="AA627" s="1126"/>
      <c r="AB627" s="1126"/>
    </row>
    <row r="628" ht="15.75" customHeight="1">
      <c r="B628" s="1126"/>
      <c r="C628" s="1126"/>
      <c r="D628" s="1126"/>
      <c r="E628" s="1126"/>
      <c r="F628" s="1126"/>
      <c r="G628" s="1126"/>
      <c r="H628" s="1126"/>
      <c r="I628" s="1126"/>
      <c r="J628" s="1126"/>
      <c r="K628" s="1126"/>
      <c r="L628" s="1126"/>
      <c r="M628" s="1126"/>
      <c r="N628" s="1126"/>
      <c r="O628" s="1126"/>
      <c r="P628" s="1126"/>
      <c r="Q628" s="1126"/>
      <c r="R628" s="1126"/>
      <c r="S628" s="1126"/>
      <c r="T628" s="1126"/>
      <c r="U628" s="1126"/>
      <c r="V628" s="1126"/>
      <c r="W628" s="1126"/>
      <c r="X628" s="1126"/>
      <c r="Y628" s="1126"/>
      <c r="Z628" s="1126"/>
      <c r="AA628" s="1126"/>
      <c r="AB628" s="1126"/>
    </row>
    <row r="629" ht="15.75" customHeight="1">
      <c r="B629" s="1126"/>
      <c r="C629" s="1126"/>
      <c r="D629" s="1126"/>
      <c r="E629" s="1126"/>
      <c r="F629" s="1126"/>
      <c r="G629" s="1126"/>
      <c r="H629" s="1126"/>
      <c r="I629" s="1126"/>
      <c r="J629" s="1126"/>
      <c r="K629" s="1126"/>
      <c r="L629" s="1126"/>
      <c r="M629" s="1126"/>
      <c r="N629" s="1126"/>
      <c r="O629" s="1126"/>
      <c r="P629" s="1126"/>
      <c r="Q629" s="1126"/>
      <c r="R629" s="1126"/>
      <c r="S629" s="1126"/>
      <c r="T629" s="1126"/>
      <c r="U629" s="1126"/>
      <c r="V629" s="1126"/>
      <c r="W629" s="1126"/>
      <c r="X629" s="1126"/>
      <c r="Y629" s="1126"/>
      <c r="Z629" s="1126"/>
      <c r="AA629" s="1126"/>
      <c r="AB629" s="1126"/>
    </row>
    <row r="630" ht="15.75" customHeight="1">
      <c r="B630" s="1126"/>
      <c r="C630" s="1126"/>
      <c r="D630" s="1126"/>
      <c r="E630" s="1126"/>
      <c r="F630" s="1126"/>
      <c r="G630" s="1126"/>
      <c r="H630" s="1126"/>
      <c r="I630" s="1126"/>
      <c r="J630" s="1126"/>
      <c r="K630" s="1126"/>
      <c r="L630" s="1126"/>
      <c r="M630" s="1126"/>
      <c r="N630" s="1126"/>
      <c r="O630" s="1126"/>
      <c r="P630" s="1126"/>
      <c r="Q630" s="1126"/>
      <c r="R630" s="1126"/>
      <c r="S630" s="1126"/>
      <c r="T630" s="1126"/>
      <c r="U630" s="1126"/>
      <c r="V630" s="1126"/>
      <c r="W630" s="1126"/>
      <c r="X630" s="1126"/>
      <c r="Y630" s="1126"/>
      <c r="Z630" s="1126"/>
      <c r="AA630" s="1126"/>
      <c r="AB630" s="1126"/>
    </row>
    <row r="631" ht="15.75" customHeight="1">
      <c r="B631" s="1126"/>
      <c r="C631" s="1126"/>
      <c r="D631" s="1126"/>
      <c r="E631" s="1126"/>
      <c r="F631" s="1126"/>
      <c r="G631" s="1126"/>
      <c r="H631" s="1126"/>
      <c r="I631" s="1126"/>
      <c r="J631" s="1126"/>
      <c r="K631" s="1126"/>
      <c r="L631" s="1126"/>
      <c r="M631" s="1126"/>
      <c r="N631" s="1126"/>
      <c r="O631" s="1126"/>
      <c r="P631" s="1126"/>
      <c r="Q631" s="1126"/>
      <c r="R631" s="1126"/>
      <c r="S631" s="1126"/>
      <c r="T631" s="1126"/>
      <c r="U631" s="1126"/>
      <c r="V631" s="1126"/>
      <c r="W631" s="1126"/>
      <c r="X631" s="1126"/>
      <c r="Y631" s="1126"/>
      <c r="Z631" s="1126"/>
      <c r="AA631" s="1126"/>
      <c r="AB631" s="1126"/>
    </row>
    <row r="632" ht="15.75" customHeight="1">
      <c r="B632" s="1126"/>
      <c r="C632" s="1126"/>
      <c r="D632" s="1126"/>
      <c r="E632" s="1126"/>
      <c r="F632" s="1126"/>
      <c r="G632" s="1126"/>
      <c r="H632" s="1126"/>
      <c r="I632" s="1126"/>
      <c r="J632" s="1126"/>
      <c r="K632" s="1126"/>
      <c r="L632" s="1126"/>
      <c r="M632" s="1126"/>
      <c r="N632" s="1126"/>
      <c r="O632" s="1126"/>
      <c r="P632" s="1126"/>
      <c r="Q632" s="1126"/>
      <c r="R632" s="1126"/>
      <c r="S632" s="1126"/>
      <c r="T632" s="1126"/>
      <c r="U632" s="1126"/>
      <c r="V632" s="1126"/>
      <c r="W632" s="1126"/>
      <c r="X632" s="1126"/>
      <c r="Y632" s="1126"/>
      <c r="Z632" s="1126"/>
      <c r="AA632" s="1126"/>
      <c r="AB632" s="1126"/>
    </row>
    <row r="633" ht="15.75" customHeight="1">
      <c r="B633" s="1126"/>
      <c r="C633" s="1126"/>
      <c r="D633" s="1126"/>
      <c r="E633" s="1126"/>
      <c r="F633" s="1126"/>
      <c r="G633" s="1126"/>
      <c r="H633" s="1126"/>
      <c r="I633" s="1126"/>
      <c r="J633" s="1126"/>
      <c r="K633" s="1126"/>
      <c r="L633" s="1126"/>
      <c r="M633" s="1126"/>
      <c r="N633" s="1126"/>
      <c r="O633" s="1126"/>
      <c r="P633" s="1126"/>
      <c r="Q633" s="1126"/>
      <c r="R633" s="1126"/>
      <c r="S633" s="1126"/>
      <c r="T633" s="1126"/>
      <c r="U633" s="1126"/>
      <c r="V633" s="1126"/>
      <c r="W633" s="1126"/>
      <c r="X633" s="1126"/>
      <c r="Y633" s="1126"/>
      <c r="Z633" s="1126"/>
      <c r="AA633" s="1126"/>
      <c r="AB633" s="1126"/>
    </row>
    <row r="634" ht="15.75" customHeight="1">
      <c r="B634" s="1126"/>
      <c r="C634" s="1126"/>
      <c r="D634" s="1126"/>
      <c r="E634" s="1126"/>
      <c r="F634" s="1126"/>
      <c r="G634" s="1126"/>
      <c r="H634" s="1126"/>
      <c r="I634" s="1126"/>
      <c r="J634" s="1126"/>
      <c r="K634" s="1126"/>
      <c r="L634" s="1126"/>
      <c r="M634" s="1126"/>
      <c r="N634" s="1126"/>
      <c r="O634" s="1126"/>
      <c r="P634" s="1126"/>
      <c r="Q634" s="1126"/>
      <c r="R634" s="1126"/>
      <c r="S634" s="1126"/>
      <c r="T634" s="1126"/>
      <c r="U634" s="1126"/>
      <c r="V634" s="1126"/>
      <c r="W634" s="1126"/>
      <c r="X634" s="1126"/>
      <c r="Y634" s="1126"/>
      <c r="Z634" s="1126"/>
      <c r="AA634" s="1126"/>
      <c r="AB634" s="1126"/>
    </row>
    <row r="635" ht="15.75" customHeight="1">
      <c r="B635" s="1126"/>
      <c r="C635" s="1126"/>
      <c r="D635" s="1126"/>
      <c r="E635" s="1126"/>
      <c r="F635" s="1126"/>
      <c r="G635" s="1126"/>
      <c r="H635" s="1126"/>
      <c r="I635" s="1126"/>
      <c r="J635" s="1126"/>
      <c r="K635" s="1126"/>
      <c r="L635" s="1126"/>
      <c r="M635" s="1126"/>
      <c r="N635" s="1126"/>
      <c r="O635" s="1126"/>
      <c r="P635" s="1126"/>
      <c r="Q635" s="1126"/>
      <c r="R635" s="1126"/>
      <c r="S635" s="1126"/>
      <c r="T635" s="1126"/>
      <c r="U635" s="1126"/>
      <c r="V635" s="1126"/>
      <c r="W635" s="1126"/>
      <c r="X635" s="1126"/>
      <c r="Y635" s="1126"/>
      <c r="Z635" s="1126"/>
      <c r="AA635" s="1126"/>
      <c r="AB635" s="1126"/>
    </row>
    <row r="636" ht="15.75" customHeight="1">
      <c r="B636" s="1126"/>
      <c r="C636" s="1126"/>
      <c r="D636" s="1126"/>
      <c r="E636" s="1126"/>
      <c r="F636" s="1126"/>
      <c r="G636" s="1126"/>
      <c r="H636" s="1126"/>
      <c r="I636" s="1126"/>
      <c r="J636" s="1126"/>
      <c r="K636" s="1126"/>
      <c r="L636" s="1126"/>
      <c r="M636" s="1126"/>
      <c r="N636" s="1126"/>
      <c r="O636" s="1126"/>
      <c r="P636" s="1126"/>
      <c r="Q636" s="1126"/>
      <c r="R636" s="1126"/>
      <c r="S636" s="1126"/>
      <c r="T636" s="1126"/>
      <c r="U636" s="1126"/>
      <c r="V636" s="1126"/>
      <c r="W636" s="1126"/>
      <c r="X636" s="1126"/>
      <c r="Y636" s="1126"/>
      <c r="Z636" s="1126"/>
      <c r="AA636" s="1126"/>
      <c r="AB636" s="1126"/>
    </row>
    <row r="637" ht="15.75" customHeight="1">
      <c r="B637" s="1126"/>
      <c r="C637" s="1126"/>
      <c r="D637" s="1126"/>
      <c r="E637" s="1126"/>
      <c r="F637" s="1126"/>
      <c r="G637" s="1126"/>
      <c r="H637" s="1126"/>
      <c r="I637" s="1126"/>
      <c r="J637" s="1126"/>
      <c r="K637" s="1126"/>
      <c r="L637" s="1126"/>
      <c r="M637" s="1126"/>
      <c r="N637" s="1126"/>
      <c r="O637" s="1126"/>
      <c r="P637" s="1126"/>
      <c r="Q637" s="1126"/>
      <c r="R637" s="1126"/>
      <c r="S637" s="1126"/>
      <c r="T637" s="1126"/>
      <c r="U637" s="1126"/>
      <c r="V637" s="1126"/>
      <c r="W637" s="1126"/>
      <c r="X637" s="1126"/>
      <c r="Y637" s="1126"/>
      <c r="Z637" s="1126"/>
      <c r="AA637" s="1126"/>
      <c r="AB637" s="1126"/>
    </row>
    <row r="638" ht="15.75" customHeight="1">
      <c r="B638" s="1126"/>
      <c r="C638" s="1126"/>
      <c r="D638" s="1126"/>
      <c r="E638" s="1126"/>
      <c r="F638" s="1126"/>
      <c r="G638" s="1126"/>
      <c r="H638" s="1126"/>
      <c r="I638" s="1126"/>
      <c r="J638" s="1126"/>
      <c r="K638" s="1126"/>
      <c r="L638" s="1126"/>
      <c r="M638" s="1126"/>
      <c r="N638" s="1126"/>
      <c r="O638" s="1126"/>
      <c r="P638" s="1126"/>
      <c r="Q638" s="1126"/>
      <c r="R638" s="1126"/>
      <c r="S638" s="1126"/>
      <c r="T638" s="1126"/>
      <c r="U638" s="1126"/>
      <c r="V638" s="1126"/>
      <c r="W638" s="1126"/>
      <c r="X638" s="1126"/>
      <c r="Y638" s="1126"/>
      <c r="Z638" s="1126"/>
      <c r="AA638" s="1126"/>
      <c r="AB638" s="1126"/>
    </row>
    <row r="639" ht="15.75" customHeight="1">
      <c r="B639" s="1126"/>
      <c r="C639" s="1126"/>
      <c r="D639" s="1126"/>
      <c r="E639" s="1126"/>
      <c r="F639" s="1126"/>
      <c r="G639" s="1126"/>
      <c r="H639" s="1126"/>
      <c r="I639" s="1126"/>
      <c r="J639" s="1126"/>
      <c r="K639" s="1126"/>
      <c r="L639" s="1126"/>
      <c r="M639" s="1126"/>
      <c r="N639" s="1126"/>
      <c r="O639" s="1126"/>
      <c r="P639" s="1126"/>
      <c r="Q639" s="1126"/>
      <c r="R639" s="1126"/>
      <c r="S639" s="1126"/>
      <c r="T639" s="1126"/>
      <c r="U639" s="1126"/>
      <c r="V639" s="1126"/>
      <c r="W639" s="1126"/>
      <c r="X639" s="1126"/>
      <c r="Y639" s="1126"/>
      <c r="Z639" s="1126"/>
      <c r="AA639" s="1126"/>
      <c r="AB639" s="1126"/>
    </row>
    <row r="640" ht="15.75" customHeight="1">
      <c r="B640" s="1126"/>
      <c r="C640" s="1126"/>
      <c r="D640" s="1126"/>
      <c r="E640" s="1126"/>
      <c r="F640" s="1126"/>
      <c r="G640" s="1126"/>
      <c r="H640" s="1126"/>
      <c r="I640" s="1126"/>
      <c r="J640" s="1126"/>
      <c r="K640" s="1126"/>
      <c r="L640" s="1126"/>
      <c r="M640" s="1126"/>
      <c r="N640" s="1126"/>
      <c r="O640" s="1126"/>
      <c r="P640" s="1126"/>
      <c r="Q640" s="1126"/>
      <c r="R640" s="1126"/>
      <c r="S640" s="1126"/>
      <c r="T640" s="1126"/>
      <c r="U640" s="1126"/>
      <c r="V640" s="1126"/>
      <c r="W640" s="1126"/>
      <c r="X640" s="1126"/>
      <c r="Y640" s="1126"/>
      <c r="Z640" s="1126"/>
      <c r="AA640" s="1126"/>
      <c r="AB640" s="1126"/>
    </row>
    <row r="641" ht="15.75" customHeight="1">
      <c r="B641" s="1126"/>
      <c r="C641" s="1126"/>
      <c r="D641" s="1126"/>
      <c r="E641" s="1126"/>
      <c r="F641" s="1126"/>
      <c r="G641" s="1126"/>
      <c r="H641" s="1126"/>
      <c r="I641" s="1126"/>
      <c r="J641" s="1126"/>
      <c r="K641" s="1126"/>
      <c r="L641" s="1126"/>
      <c r="M641" s="1126"/>
      <c r="N641" s="1126"/>
      <c r="O641" s="1126"/>
      <c r="P641" s="1126"/>
      <c r="Q641" s="1126"/>
      <c r="R641" s="1126"/>
      <c r="S641" s="1126"/>
      <c r="T641" s="1126"/>
      <c r="U641" s="1126"/>
      <c r="V641" s="1126"/>
      <c r="W641" s="1126"/>
      <c r="X641" s="1126"/>
      <c r="Y641" s="1126"/>
      <c r="Z641" s="1126"/>
      <c r="AA641" s="1126"/>
      <c r="AB641" s="1126"/>
    </row>
    <row r="642" ht="15.75" customHeight="1">
      <c r="B642" s="1126"/>
      <c r="C642" s="1126"/>
      <c r="D642" s="1126"/>
      <c r="E642" s="1126"/>
      <c r="F642" s="1126"/>
      <c r="G642" s="1126"/>
      <c r="H642" s="1126"/>
      <c r="I642" s="1126"/>
      <c r="J642" s="1126"/>
      <c r="K642" s="1126"/>
      <c r="L642" s="1126"/>
      <c r="M642" s="1126"/>
      <c r="N642" s="1126"/>
      <c r="O642" s="1126"/>
      <c r="P642" s="1126"/>
      <c r="Q642" s="1126"/>
      <c r="R642" s="1126"/>
      <c r="S642" s="1126"/>
      <c r="T642" s="1126"/>
      <c r="U642" s="1126"/>
      <c r="V642" s="1126"/>
      <c r="W642" s="1126"/>
      <c r="X642" s="1126"/>
      <c r="Y642" s="1126"/>
      <c r="Z642" s="1126"/>
      <c r="AA642" s="1126"/>
      <c r="AB642" s="1126"/>
    </row>
    <row r="643" ht="15.75" customHeight="1">
      <c r="B643" s="1126"/>
      <c r="C643" s="1126"/>
      <c r="D643" s="1126"/>
      <c r="E643" s="1126"/>
      <c r="F643" s="1126"/>
      <c r="G643" s="1126"/>
      <c r="H643" s="1126"/>
      <c r="I643" s="1126"/>
      <c r="J643" s="1126"/>
      <c r="K643" s="1126"/>
      <c r="L643" s="1126"/>
      <c r="M643" s="1126"/>
      <c r="N643" s="1126"/>
      <c r="O643" s="1126"/>
      <c r="P643" s="1126"/>
      <c r="Q643" s="1126"/>
      <c r="R643" s="1126"/>
      <c r="S643" s="1126"/>
      <c r="T643" s="1126"/>
      <c r="U643" s="1126"/>
      <c r="V643" s="1126"/>
      <c r="W643" s="1126"/>
      <c r="X643" s="1126"/>
      <c r="Y643" s="1126"/>
      <c r="Z643" s="1126"/>
      <c r="AA643" s="1126"/>
      <c r="AB643" s="1126"/>
    </row>
    <row r="644" ht="15.75" customHeight="1">
      <c r="B644" s="1126"/>
      <c r="C644" s="1126"/>
      <c r="D644" s="1126"/>
      <c r="E644" s="1126"/>
      <c r="F644" s="1126"/>
      <c r="G644" s="1126"/>
      <c r="H644" s="1126"/>
      <c r="I644" s="1126"/>
      <c r="J644" s="1126"/>
      <c r="K644" s="1126"/>
      <c r="L644" s="1126"/>
      <c r="M644" s="1126"/>
      <c r="N644" s="1126"/>
      <c r="O644" s="1126"/>
      <c r="P644" s="1126"/>
      <c r="Q644" s="1126"/>
      <c r="R644" s="1126"/>
      <c r="S644" s="1126"/>
      <c r="T644" s="1126"/>
      <c r="U644" s="1126"/>
      <c r="V644" s="1126"/>
      <c r="W644" s="1126"/>
      <c r="X644" s="1126"/>
      <c r="Y644" s="1126"/>
      <c r="Z644" s="1126"/>
      <c r="AA644" s="1126"/>
      <c r="AB644" s="1126"/>
    </row>
    <row r="645" ht="15.75" customHeight="1">
      <c r="B645" s="1126"/>
      <c r="C645" s="1126"/>
      <c r="D645" s="1126"/>
      <c r="E645" s="1126"/>
      <c r="F645" s="1126"/>
      <c r="G645" s="1126"/>
      <c r="H645" s="1126"/>
      <c r="I645" s="1126"/>
      <c r="J645" s="1126"/>
      <c r="K645" s="1126"/>
      <c r="L645" s="1126"/>
      <c r="M645" s="1126"/>
      <c r="N645" s="1126"/>
      <c r="O645" s="1126"/>
      <c r="P645" s="1126"/>
      <c r="Q645" s="1126"/>
      <c r="R645" s="1126"/>
      <c r="S645" s="1126"/>
      <c r="T645" s="1126"/>
      <c r="U645" s="1126"/>
      <c r="V645" s="1126"/>
      <c r="W645" s="1126"/>
      <c r="X645" s="1126"/>
      <c r="Y645" s="1126"/>
      <c r="Z645" s="1126"/>
      <c r="AA645" s="1126"/>
      <c r="AB645" s="1126"/>
    </row>
    <row r="646" ht="15.75" customHeight="1">
      <c r="B646" s="1126"/>
      <c r="C646" s="1126"/>
      <c r="D646" s="1126"/>
      <c r="E646" s="1126"/>
      <c r="F646" s="1126"/>
      <c r="G646" s="1126"/>
      <c r="H646" s="1126"/>
      <c r="I646" s="1126"/>
      <c r="J646" s="1126"/>
      <c r="K646" s="1126"/>
      <c r="L646" s="1126"/>
      <c r="M646" s="1126"/>
      <c r="N646" s="1126"/>
      <c r="O646" s="1126"/>
      <c r="P646" s="1126"/>
      <c r="Q646" s="1126"/>
      <c r="R646" s="1126"/>
      <c r="S646" s="1126"/>
      <c r="T646" s="1126"/>
      <c r="U646" s="1126"/>
      <c r="V646" s="1126"/>
      <c r="W646" s="1126"/>
      <c r="X646" s="1126"/>
      <c r="Y646" s="1126"/>
      <c r="Z646" s="1126"/>
      <c r="AA646" s="1126"/>
      <c r="AB646" s="1126"/>
    </row>
    <row r="647" ht="15.75" customHeight="1">
      <c r="B647" s="1126"/>
      <c r="C647" s="1126"/>
      <c r="D647" s="1126"/>
      <c r="E647" s="1126"/>
      <c r="F647" s="1126"/>
      <c r="G647" s="1126"/>
      <c r="H647" s="1126"/>
      <c r="I647" s="1126"/>
      <c r="J647" s="1126"/>
      <c r="K647" s="1126"/>
      <c r="L647" s="1126"/>
      <c r="M647" s="1126"/>
      <c r="N647" s="1126"/>
      <c r="O647" s="1126"/>
      <c r="P647" s="1126"/>
      <c r="Q647" s="1126"/>
      <c r="R647" s="1126"/>
      <c r="S647" s="1126"/>
      <c r="T647" s="1126"/>
      <c r="U647" s="1126"/>
      <c r="V647" s="1126"/>
      <c r="W647" s="1126"/>
      <c r="X647" s="1126"/>
      <c r="Y647" s="1126"/>
      <c r="Z647" s="1126"/>
      <c r="AA647" s="1126"/>
      <c r="AB647" s="1126"/>
    </row>
    <row r="648" ht="15.75" customHeight="1">
      <c r="B648" s="1126"/>
      <c r="C648" s="1126"/>
      <c r="D648" s="1126"/>
      <c r="E648" s="1126"/>
      <c r="F648" s="1126"/>
      <c r="G648" s="1126"/>
      <c r="H648" s="1126"/>
      <c r="I648" s="1126"/>
      <c r="J648" s="1126"/>
      <c r="K648" s="1126"/>
      <c r="L648" s="1126"/>
      <c r="M648" s="1126"/>
      <c r="N648" s="1126"/>
      <c r="O648" s="1126"/>
      <c r="P648" s="1126"/>
      <c r="Q648" s="1126"/>
      <c r="R648" s="1126"/>
      <c r="S648" s="1126"/>
      <c r="T648" s="1126"/>
      <c r="U648" s="1126"/>
      <c r="V648" s="1126"/>
      <c r="W648" s="1126"/>
      <c r="X648" s="1126"/>
      <c r="Y648" s="1126"/>
      <c r="Z648" s="1126"/>
      <c r="AA648" s="1126"/>
      <c r="AB648" s="1126"/>
    </row>
    <row r="649" ht="15.75" customHeight="1">
      <c r="B649" s="1126"/>
      <c r="C649" s="1126"/>
      <c r="D649" s="1126"/>
      <c r="E649" s="1126"/>
      <c r="F649" s="1126"/>
      <c r="G649" s="1126"/>
      <c r="H649" s="1126"/>
      <c r="I649" s="1126"/>
      <c r="J649" s="1126"/>
      <c r="K649" s="1126"/>
      <c r="L649" s="1126"/>
      <c r="M649" s="1126"/>
      <c r="N649" s="1126"/>
      <c r="O649" s="1126"/>
      <c r="P649" s="1126"/>
      <c r="Q649" s="1126"/>
      <c r="R649" s="1126"/>
      <c r="S649" s="1126"/>
      <c r="T649" s="1126"/>
      <c r="U649" s="1126"/>
      <c r="V649" s="1126"/>
      <c r="W649" s="1126"/>
      <c r="X649" s="1126"/>
      <c r="Y649" s="1126"/>
      <c r="Z649" s="1126"/>
      <c r="AA649" s="1126"/>
      <c r="AB649" s="1126"/>
    </row>
    <row r="650" ht="15.75" customHeight="1">
      <c r="B650" s="1126"/>
      <c r="C650" s="1126"/>
      <c r="D650" s="1126"/>
      <c r="E650" s="1126"/>
      <c r="F650" s="1126"/>
      <c r="G650" s="1126"/>
      <c r="H650" s="1126"/>
      <c r="I650" s="1126"/>
      <c r="J650" s="1126"/>
      <c r="K650" s="1126"/>
      <c r="L650" s="1126"/>
      <c r="M650" s="1126"/>
      <c r="N650" s="1126"/>
      <c r="O650" s="1126"/>
      <c r="P650" s="1126"/>
      <c r="Q650" s="1126"/>
      <c r="R650" s="1126"/>
      <c r="S650" s="1126"/>
      <c r="T650" s="1126"/>
      <c r="U650" s="1126"/>
      <c r="V650" s="1126"/>
      <c r="W650" s="1126"/>
      <c r="X650" s="1126"/>
      <c r="Y650" s="1126"/>
      <c r="Z650" s="1126"/>
      <c r="AA650" s="1126"/>
      <c r="AB650" s="1126"/>
    </row>
    <row r="651" ht="15.75" customHeight="1">
      <c r="B651" s="1126"/>
      <c r="C651" s="1126"/>
      <c r="D651" s="1126"/>
      <c r="E651" s="1126"/>
      <c r="F651" s="1126"/>
      <c r="G651" s="1126"/>
      <c r="H651" s="1126"/>
      <c r="I651" s="1126"/>
      <c r="J651" s="1126"/>
      <c r="K651" s="1126"/>
      <c r="L651" s="1126"/>
      <c r="M651" s="1126"/>
      <c r="N651" s="1126"/>
      <c r="O651" s="1126"/>
      <c r="P651" s="1126"/>
      <c r="Q651" s="1126"/>
      <c r="R651" s="1126"/>
      <c r="S651" s="1126"/>
      <c r="T651" s="1126"/>
      <c r="U651" s="1126"/>
      <c r="V651" s="1126"/>
      <c r="W651" s="1126"/>
      <c r="X651" s="1126"/>
      <c r="Y651" s="1126"/>
      <c r="Z651" s="1126"/>
      <c r="AA651" s="1126"/>
      <c r="AB651" s="1126"/>
    </row>
    <row r="652" ht="15.75" customHeight="1">
      <c r="B652" s="1126"/>
      <c r="C652" s="1126"/>
      <c r="D652" s="1126"/>
      <c r="E652" s="1126"/>
      <c r="F652" s="1126"/>
      <c r="G652" s="1126"/>
      <c r="H652" s="1126"/>
      <c r="I652" s="1126"/>
      <c r="J652" s="1126"/>
      <c r="K652" s="1126"/>
      <c r="L652" s="1126"/>
      <c r="M652" s="1126"/>
      <c r="N652" s="1126"/>
      <c r="O652" s="1126"/>
      <c r="P652" s="1126"/>
      <c r="Q652" s="1126"/>
      <c r="R652" s="1126"/>
      <c r="S652" s="1126"/>
      <c r="T652" s="1126"/>
      <c r="U652" s="1126"/>
      <c r="V652" s="1126"/>
      <c r="W652" s="1126"/>
      <c r="X652" s="1126"/>
      <c r="Y652" s="1126"/>
      <c r="Z652" s="1126"/>
      <c r="AA652" s="1126"/>
      <c r="AB652" s="1126"/>
    </row>
    <row r="653" ht="15.75" customHeight="1">
      <c r="B653" s="1126"/>
      <c r="C653" s="1126"/>
      <c r="D653" s="1126"/>
      <c r="E653" s="1126"/>
      <c r="F653" s="1126"/>
      <c r="G653" s="1126"/>
      <c r="H653" s="1126"/>
      <c r="I653" s="1126"/>
      <c r="J653" s="1126"/>
      <c r="K653" s="1126"/>
      <c r="L653" s="1126"/>
      <c r="M653" s="1126"/>
      <c r="N653" s="1126"/>
      <c r="O653" s="1126"/>
      <c r="P653" s="1126"/>
      <c r="Q653" s="1126"/>
      <c r="R653" s="1126"/>
      <c r="S653" s="1126"/>
      <c r="T653" s="1126"/>
      <c r="U653" s="1126"/>
      <c r="V653" s="1126"/>
      <c r="W653" s="1126"/>
      <c r="X653" s="1126"/>
      <c r="Y653" s="1126"/>
      <c r="Z653" s="1126"/>
      <c r="AA653" s="1126"/>
      <c r="AB653" s="1126"/>
    </row>
    <row r="654" ht="15.75" customHeight="1">
      <c r="B654" s="1126"/>
      <c r="C654" s="1126"/>
      <c r="D654" s="1126"/>
      <c r="E654" s="1126"/>
      <c r="F654" s="1126"/>
      <c r="G654" s="1126"/>
      <c r="H654" s="1126"/>
      <c r="I654" s="1126"/>
      <c r="J654" s="1126"/>
      <c r="K654" s="1126"/>
      <c r="L654" s="1126"/>
      <c r="M654" s="1126"/>
      <c r="N654" s="1126"/>
      <c r="O654" s="1126"/>
      <c r="P654" s="1126"/>
      <c r="Q654" s="1126"/>
      <c r="R654" s="1126"/>
      <c r="S654" s="1126"/>
      <c r="T654" s="1126"/>
      <c r="U654" s="1126"/>
      <c r="V654" s="1126"/>
      <c r="W654" s="1126"/>
      <c r="X654" s="1126"/>
      <c r="Y654" s="1126"/>
      <c r="Z654" s="1126"/>
      <c r="AA654" s="1126"/>
      <c r="AB654" s="1126"/>
    </row>
    <row r="655" ht="15.75" customHeight="1">
      <c r="B655" s="1126"/>
      <c r="C655" s="1126"/>
      <c r="D655" s="1126"/>
      <c r="E655" s="1126"/>
      <c r="F655" s="1126"/>
      <c r="G655" s="1126"/>
      <c r="H655" s="1126"/>
      <c r="I655" s="1126"/>
      <c r="J655" s="1126"/>
      <c r="K655" s="1126"/>
      <c r="L655" s="1126"/>
      <c r="M655" s="1126"/>
      <c r="N655" s="1126"/>
      <c r="O655" s="1126"/>
      <c r="P655" s="1126"/>
      <c r="Q655" s="1126"/>
      <c r="R655" s="1126"/>
      <c r="S655" s="1126"/>
      <c r="T655" s="1126"/>
      <c r="U655" s="1126"/>
      <c r="V655" s="1126"/>
      <c r="W655" s="1126"/>
      <c r="X655" s="1126"/>
      <c r="Y655" s="1126"/>
      <c r="Z655" s="1126"/>
      <c r="AA655" s="1126"/>
      <c r="AB655" s="1126"/>
    </row>
    <row r="656" ht="15.75" customHeight="1">
      <c r="B656" s="1126"/>
      <c r="C656" s="1126"/>
      <c r="D656" s="1126"/>
      <c r="E656" s="1126"/>
      <c r="F656" s="1126"/>
      <c r="G656" s="1126"/>
      <c r="H656" s="1126"/>
      <c r="I656" s="1126"/>
      <c r="J656" s="1126"/>
      <c r="K656" s="1126"/>
      <c r="L656" s="1126"/>
      <c r="M656" s="1126"/>
      <c r="N656" s="1126"/>
      <c r="O656" s="1126"/>
      <c r="P656" s="1126"/>
      <c r="Q656" s="1126"/>
      <c r="R656" s="1126"/>
      <c r="S656" s="1126"/>
      <c r="T656" s="1126"/>
      <c r="U656" s="1126"/>
      <c r="V656" s="1126"/>
      <c r="W656" s="1126"/>
      <c r="X656" s="1126"/>
      <c r="Y656" s="1126"/>
      <c r="Z656" s="1126"/>
      <c r="AA656" s="1126"/>
      <c r="AB656" s="1126"/>
    </row>
    <row r="657" ht="15.75" customHeight="1">
      <c r="B657" s="1126"/>
      <c r="C657" s="1126"/>
      <c r="D657" s="1126"/>
      <c r="E657" s="1126"/>
      <c r="F657" s="1126"/>
      <c r="G657" s="1126"/>
      <c r="H657" s="1126"/>
      <c r="I657" s="1126"/>
      <c r="J657" s="1126"/>
      <c r="K657" s="1126"/>
      <c r="L657" s="1126"/>
      <c r="M657" s="1126"/>
      <c r="N657" s="1126"/>
      <c r="O657" s="1126"/>
      <c r="P657" s="1126"/>
      <c r="Q657" s="1126"/>
      <c r="R657" s="1126"/>
      <c r="S657" s="1126"/>
      <c r="T657" s="1126"/>
      <c r="U657" s="1126"/>
      <c r="V657" s="1126"/>
      <c r="W657" s="1126"/>
      <c r="X657" s="1126"/>
      <c r="Y657" s="1126"/>
      <c r="Z657" s="1126"/>
      <c r="AA657" s="1126"/>
      <c r="AB657" s="1126"/>
    </row>
    <row r="658" ht="15.75" customHeight="1">
      <c r="B658" s="1126"/>
      <c r="C658" s="1126"/>
      <c r="D658" s="1126"/>
      <c r="E658" s="1126"/>
      <c r="F658" s="1126"/>
      <c r="G658" s="1126"/>
      <c r="H658" s="1126"/>
      <c r="I658" s="1126"/>
      <c r="J658" s="1126"/>
      <c r="K658" s="1126"/>
      <c r="L658" s="1126"/>
      <c r="M658" s="1126"/>
      <c r="N658" s="1126"/>
      <c r="O658" s="1126"/>
      <c r="P658" s="1126"/>
      <c r="Q658" s="1126"/>
      <c r="R658" s="1126"/>
      <c r="S658" s="1126"/>
      <c r="T658" s="1126"/>
      <c r="U658" s="1126"/>
      <c r="V658" s="1126"/>
      <c r="W658" s="1126"/>
      <c r="X658" s="1126"/>
      <c r="Y658" s="1126"/>
      <c r="Z658" s="1126"/>
      <c r="AA658" s="1126"/>
      <c r="AB658" s="1126"/>
    </row>
    <row r="659" ht="15.75" customHeight="1">
      <c r="B659" s="1126"/>
      <c r="C659" s="1126"/>
      <c r="D659" s="1126"/>
      <c r="E659" s="1126"/>
      <c r="F659" s="1126"/>
      <c r="G659" s="1126"/>
      <c r="H659" s="1126"/>
      <c r="I659" s="1126"/>
      <c r="J659" s="1126"/>
      <c r="K659" s="1126"/>
      <c r="L659" s="1126"/>
      <c r="M659" s="1126"/>
      <c r="N659" s="1126"/>
      <c r="O659" s="1126"/>
      <c r="P659" s="1126"/>
      <c r="Q659" s="1126"/>
      <c r="R659" s="1126"/>
      <c r="S659" s="1126"/>
      <c r="T659" s="1126"/>
      <c r="U659" s="1126"/>
      <c r="V659" s="1126"/>
      <c r="W659" s="1126"/>
      <c r="X659" s="1126"/>
      <c r="Y659" s="1126"/>
      <c r="Z659" s="1126"/>
      <c r="AA659" s="1126"/>
      <c r="AB659" s="1126"/>
    </row>
    <row r="660" ht="15.75" customHeight="1">
      <c r="B660" s="1126"/>
      <c r="C660" s="1126"/>
      <c r="D660" s="1126"/>
      <c r="E660" s="1126"/>
      <c r="F660" s="1126"/>
      <c r="G660" s="1126"/>
      <c r="H660" s="1126"/>
      <c r="I660" s="1126"/>
      <c r="J660" s="1126"/>
      <c r="K660" s="1126"/>
      <c r="L660" s="1126"/>
      <c r="M660" s="1126"/>
      <c r="N660" s="1126"/>
      <c r="O660" s="1126"/>
      <c r="P660" s="1126"/>
      <c r="Q660" s="1126"/>
      <c r="R660" s="1126"/>
      <c r="S660" s="1126"/>
      <c r="T660" s="1126"/>
      <c r="U660" s="1126"/>
      <c r="V660" s="1126"/>
      <c r="W660" s="1126"/>
      <c r="X660" s="1126"/>
      <c r="Y660" s="1126"/>
      <c r="Z660" s="1126"/>
      <c r="AA660" s="1126"/>
      <c r="AB660" s="1126"/>
    </row>
    <row r="661" ht="15.75" customHeight="1">
      <c r="B661" s="1126"/>
      <c r="C661" s="1126"/>
      <c r="D661" s="1126"/>
      <c r="E661" s="1126"/>
      <c r="F661" s="1126"/>
      <c r="G661" s="1126"/>
      <c r="H661" s="1126"/>
      <c r="I661" s="1126"/>
      <c r="J661" s="1126"/>
      <c r="K661" s="1126"/>
      <c r="L661" s="1126"/>
      <c r="M661" s="1126"/>
      <c r="N661" s="1126"/>
      <c r="O661" s="1126"/>
      <c r="P661" s="1126"/>
      <c r="Q661" s="1126"/>
      <c r="R661" s="1126"/>
      <c r="S661" s="1126"/>
      <c r="T661" s="1126"/>
      <c r="U661" s="1126"/>
      <c r="V661" s="1126"/>
      <c r="W661" s="1126"/>
      <c r="X661" s="1126"/>
      <c r="Y661" s="1126"/>
      <c r="Z661" s="1126"/>
      <c r="AA661" s="1126"/>
      <c r="AB661" s="1126"/>
    </row>
    <row r="662" ht="15.75" customHeight="1">
      <c r="B662" s="1126"/>
      <c r="C662" s="1126"/>
      <c r="D662" s="1126"/>
      <c r="E662" s="1126"/>
      <c r="F662" s="1126"/>
      <c r="G662" s="1126"/>
      <c r="H662" s="1126"/>
      <c r="I662" s="1126"/>
      <c r="J662" s="1126"/>
      <c r="K662" s="1126"/>
      <c r="L662" s="1126"/>
      <c r="M662" s="1126"/>
      <c r="N662" s="1126"/>
      <c r="O662" s="1126"/>
      <c r="P662" s="1126"/>
      <c r="Q662" s="1126"/>
      <c r="R662" s="1126"/>
      <c r="S662" s="1126"/>
      <c r="T662" s="1126"/>
      <c r="U662" s="1126"/>
      <c r="V662" s="1126"/>
      <c r="W662" s="1126"/>
      <c r="X662" s="1126"/>
      <c r="Y662" s="1126"/>
      <c r="Z662" s="1126"/>
      <c r="AA662" s="1126"/>
      <c r="AB662" s="1126"/>
    </row>
    <row r="663" ht="15.75" customHeight="1">
      <c r="B663" s="1126"/>
      <c r="C663" s="1126"/>
      <c r="D663" s="1126"/>
      <c r="E663" s="1126"/>
      <c r="F663" s="1126"/>
      <c r="G663" s="1126"/>
      <c r="H663" s="1126"/>
      <c r="I663" s="1126"/>
      <c r="J663" s="1126"/>
      <c r="K663" s="1126"/>
      <c r="L663" s="1126"/>
      <c r="M663" s="1126"/>
      <c r="N663" s="1126"/>
      <c r="O663" s="1126"/>
      <c r="P663" s="1126"/>
      <c r="Q663" s="1126"/>
      <c r="R663" s="1126"/>
      <c r="S663" s="1126"/>
      <c r="T663" s="1126"/>
      <c r="U663" s="1126"/>
      <c r="V663" s="1126"/>
      <c r="W663" s="1126"/>
      <c r="X663" s="1126"/>
      <c r="Y663" s="1126"/>
      <c r="Z663" s="1126"/>
      <c r="AA663" s="1126"/>
      <c r="AB663" s="1126"/>
    </row>
    <row r="664" ht="15.75" customHeight="1">
      <c r="B664" s="1126"/>
      <c r="C664" s="1126"/>
      <c r="D664" s="1126"/>
      <c r="E664" s="1126"/>
      <c r="F664" s="1126"/>
      <c r="G664" s="1126"/>
      <c r="H664" s="1126"/>
      <c r="I664" s="1126"/>
      <c r="J664" s="1126"/>
      <c r="K664" s="1126"/>
      <c r="L664" s="1126"/>
      <c r="M664" s="1126"/>
      <c r="N664" s="1126"/>
      <c r="O664" s="1126"/>
      <c r="P664" s="1126"/>
      <c r="Q664" s="1126"/>
      <c r="R664" s="1126"/>
      <c r="S664" s="1126"/>
      <c r="T664" s="1126"/>
      <c r="U664" s="1126"/>
      <c r="V664" s="1126"/>
      <c r="W664" s="1126"/>
      <c r="X664" s="1126"/>
      <c r="Y664" s="1126"/>
      <c r="Z664" s="1126"/>
      <c r="AA664" s="1126"/>
      <c r="AB664" s="1126"/>
    </row>
    <row r="665" ht="15.75" customHeight="1">
      <c r="B665" s="1126"/>
      <c r="C665" s="1126"/>
      <c r="D665" s="1126"/>
      <c r="E665" s="1126"/>
      <c r="F665" s="1126"/>
      <c r="G665" s="1126"/>
      <c r="H665" s="1126"/>
      <c r="I665" s="1126"/>
      <c r="J665" s="1126"/>
      <c r="K665" s="1126"/>
      <c r="L665" s="1126"/>
      <c r="M665" s="1126"/>
      <c r="N665" s="1126"/>
      <c r="O665" s="1126"/>
      <c r="P665" s="1126"/>
      <c r="Q665" s="1126"/>
      <c r="R665" s="1126"/>
      <c r="S665" s="1126"/>
      <c r="T665" s="1126"/>
      <c r="U665" s="1126"/>
      <c r="V665" s="1126"/>
      <c r="W665" s="1126"/>
      <c r="X665" s="1126"/>
      <c r="Y665" s="1126"/>
      <c r="Z665" s="1126"/>
      <c r="AA665" s="1126"/>
      <c r="AB665" s="1126"/>
    </row>
    <row r="666" ht="15.75" customHeight="1">
      <c r="B666" s="1126"/>
      <c r="C666" s="1126"/>
      <c r="D666" s="1126"/>
      <c r="E666" s="1126"/>
      <c r="F666" s="1126"/>
      <c r="G666" s="1126"/>
      <c r="H666" s="1126"/>
      <c r="I666" s="1126"/>
      <c r="J666" s="1126"/>
      <c r="K666" s="1126"/>
      <c r="L666" s="1126"/>
      <c r="M666" s="1126"/>
      <c r="N666" s="1126"/>
      <c r="O666" s="1126"/>
      <c r="P666" s="1126"/>
      <c r="Q666" s="1126"/>
      <c r="R666" s="1126"/>
      <c r="S666" s="1126"/>
      <c r="T666" s="1126"/>
      <c r="U666" s="1126"/>
      <c r="V666" s="1126"/>
      <c r="W666" s="1126"/>
      <c r="X666" s="1126"/>
      <c r="Y666" s="1126"/>
      <c r="Z666" s="1126"/>
      <c r="AA666" s="1126"/>
      <c r="AB666" s="1126"/>
    </row>
    <row r="667" ht="15.75" customHeight="1">
      <c r="B667" s="1126"/>
      <c r="C667" s="1126"/>
      <c r="D667" s="1126"/>
      <c r="E667" s="1126"/>
      <c r="F667" s="1126"/>
      <c r="G667" s="1126"/>
      <c r="H667" s="1126"/>
      <c r="I667" s="1126"/>
      <c r="J667" s="1126"/>
      <c r="K667" s="1126"/>
      <c r="L667" s="1126"/>
      <c r="M667" s="1126"/>
      <c r="N667" s="1126"/>
      <c r="O667" s="1126"/>
      <c r="P667" s="1126"/>
      <c r="Q667" s="1126"/>
      <c r="R667" s="1126"/>
      <c r="S667" s="1126"/>
      <c r="T667" s="1126"/>
      <c r="U667" s="1126"/>
      <c r="V667" s="1126"/>
      <c r="W667" s="1126"/>
      <c r="X667" s="1126"/>
      <c r="Y667" s="1126"/>
      <c r="Z667" s="1126"/>
      <c r="AA667" s="1126"/>
      <c r="AB667" s="1126"/>
    </row>
    <row r="668" ht="15.75" customHeight="1">
      <c r="B668" s="1126"/>
      <c r="C668" s="1126"/>
      <c r="D668" s="1126"/>
      <c r="E668" s="1126"/>
      <c r="F668" s="1126"/>
      <c r="G668" s="1126"/>
      <c r="H668" s="1126"/>
      <c r="I668" s="1126"/>
      <c r="J668" s="1126"/>
      <c r="K668" s="1126"/>
      <c r="L668" s="1126"/>
      <c r="M668" s="1126"/>
      <c r="N668" s="1126"/>
      <c r="O668" s="1126"/>
      <c r="P668" s="1126"/>
      <c r="Q668" s="1126"/>
      <c r="R668" s="1126"/>
      <c r="S668" s="1126"/>
      <c r="T668" s="1126"/>
      <c r="U668" s="1126"/>
      <c r="V668" s="1126"/>
      <c r="W668" s="1126"/>
      <c r="X668" s="1126"/>
      <c r="Y668" s="1126"/>
      <c r="Z668" s="1126"/>
      <c r="AA668" s="1126"/>
      <c r="AB668" s="1126"/>
    </row>
    <row r="669" ht="15.75" customHeight="1">
      <c r="B669" s="1126"/>
      <c r="C669" s="1126"/>
      <c r="D669" s="1126"/>
      <c r="E669" s="1126"/>
      <c r="F669" s="1126"/>
      <c r="G669" s="1126"/>
      <c r="H669" s="1126"/>
      <c r="I669" s="1126"/>
      <c r="J669" s="1126"/>
      <c r="K669" s="1126"/>
      <c r="L669" s="1126"/>
      <c r="M669" s="1126"/>
      <c r="N669" s="1126"/>
      <c r="O669" s="1126"/>
      <c r="P669" s="1126"/>
      <c r="Q669" s="1126"/>
      <c r="R669" s="1126"/>
      <c r="S669" s="1126"/>
      <c r="T669" s="1126"/>
      <c r="U669" s="1126"/>
      <c r="V669" s="1126"/>
      <c r="W669" s="1126"/>
      <c r="X669" s="1126"/>
      <c r="Y669" s="1126"/>
      <c r="Z669" s="1126"/>
      <c r="AA669" s="1126"/>
      <c r="AB669" s="1126"/>
    </row>
    <row r="670" ht="15.75" customHeight="1">
      <c r="B670" s="1126"/>
      <c r="C670" s="1126"/>
      <c r="D670" s="1126"/>
      <c r="E670" s="1126"/>
      <c r="F670" s="1126"/>
      <c r="G670" s="1126"/>
      <c r="H670" s="1126"/>
      <c r="I670" s="1126"/>
      <c r="J670" s="1126"/>
      <c r="K670" s="1126"/>
      <c r="L670" s="1126"/>
      <c r="M670" s="1126"/>
      <c r="N670" s="1126"/>
      <c r="O670" s="1126"/>
      <c r="P670" s="1126"/>
      <c r="Q670" s="1126"/>
      <c r="R670" s="1126"/>
      <c r="S670" s="1126"/>
      <c r="T670" s="1126"/>
      <c r="U670" s="1126"/>
      <c r="V670" s="1126"/>
      <c r="W670" s="1126"/>
      <c r="X670" s="1126"/>
      <c r="Y670" s="1126"/>
      <c r="Z670" s="1126"/>
      <c r="AA670" s="1126"/>
      <c r="AB670" s="1126"/>
    </row>
    <row r="671" ht="15.75" customHeight="1">
      <c r="B671" s="1126"/>
      <c r="C671" s="1126"/>
      <c r="D671" s="1126"/>
      <c r="E671" s="1126"/>
      <c r="F671" s="1126"/>
      <c r="G671" s="1126"/>
      <c r="H671" s="1126"/>
      <c r="I671" s="1126"/>
      <c r="J671" s="1126"/>
      <c r="K671" s="1126"/>
      <c r="L671" s="1126"/>
      <c r="M671" s="1126"/>
      <c r="N671" s="1126"/>
      <c r="O671" s="1126"/>
      <c r="P671" s="1126"/>
      <c r="Q671" s="1126"/>
      <c r="R671" s="1126"/>
      <c r="S671" s="1126"/>
      <c r="T671" s="1126"/>
      <c r="U671" s="1126"/>
      <c r="V671" s="1126"/>
      <c r="W671" s="1126"/>
      <c r="X671" s="1126"/>
      <c r="Y671" s="1126"/>
      <c r="Z671" s="1126"/>
      <c r="AA671" s="1126"/>
      <c r="AB671" s="1126"/>
    </row>
    <row r="672" ht="15.75" customHeight="1">
      <c r="B672" s="1126"/>
      <c r="C672" s="1126"/>
      <c r="D672" s="1126"/>
      <c r="E672" s="1126"/>
      <c r="F672" s="1126"/>
      <c r="G672" s="1126"/>
      <c r="H672" s="1126"/>
      <c r="I672" s="1126"/>
      <c r="J672" s="1126"/>
      <c r="K672" s="1126"/>
      <c r="L672" s="1126"/>
      <c r="M672" s="1126"/>
      <c r="N672" s="1126"/>
      <c r="O672" s="1126"/>
      <c r="P672" s="1126"/>
      <c r="Q672" s="1126"/>
      <c r="R672" s="1126"/>
      <c r="S672" s="1126"/>
      <c r="T672" s="1126"/>
      <c r="U672" s="1126"/>
      <c r="V672" s="1126"/>
      <c r="W672" s="1126"/>
      <c r="X672" s="1126"/>
      <c r="Y672" s="1126"/>
      <c r="Z672" s="1126"/>
      <c r="AA672" s="1126"/>
      <c r="AB672" s="1126"/>
    </row>
    <row r="673" ht="15.75" customHeight="1">
      <c r="B673" s="1126"/>
      <c r="C673" s="1126"/>
      <c r="D673" s="1126"/>
      <c r="E673" s="1126"/>
      <c r="F673" s="1126"/>
      <c r="G673" s="1126"/>
      <c r="H673" s="1126"/>
      <c r="I673" s="1126"/>
      <c r="J673" s="1126"/>
      <c r="K673" s="1126"/>
      <c r="L673" s="1126"/>
      <c r="M673" s="1126"/>
      <c r="N673" s="1126"/>
      <c r="O673" s="1126"/>
      <c r="P673" s="1126"/>
      <c r="Q673" s="1126"/>
      <c r="R673" s="1126"/>
      <c r="S673" s="1126"/>
      <c r="T673" s="1126"/>
      <c r="U673" s="1126"/>
      <c r="V673" s="1126"/>
      <c r="W673" s="1126"/>
      <c r="X673" s="1126"/>
      <c r="Y673" s="1126"/>
      <c r="Z673" s="1126"/>
      <c r="AA673" s="1126"/>
      <c r="AB673" s="1126"/>
    </row>
    <row r="674" ht="15.75" customHeight="1">
      <c r="B674" s="1126"/>
      <c r="C674" s="1126"/>
      <c r="D674" s="1126"/>
      <c r="E674" s="1126"/>
      <c r="F674" s="1126"/>
      <c r="G674" s="1126"/>
      <c r="H674" s="1126"/>
      <c r="I674" s="1126"/>
      <c r="J674" s="1126"/>
      <c r="K674" s="1126"/>
      <c r="L674" s="1126"/>
      <c r="M674" s="1126"/>
      <c r="N674" s="1126"/>
      <c r="O674" s="1126"/>
      <c r="P674" s="1126"/>
      <c r="Q674" s="1126"/>
      <c r="R674" s="1126"/>
      <c r="S674" s="1126"/>
      <c r="T674" s="1126"/>
      <c r="U674" s="1126"/>
      <c r="V674" s="1126"/>
      <c r="W674" s="1126"/>
      <c r="X674" s="1126"/>
      <c r="Y674" s="1126"/>
      <c r="Z674" s="1126"/>
      <c r="AA674" s="1126"/>
      <c r="AB674" s="1126"/>
    </row>
    <row r="675" ht="15.75" customHeight="1">
      <c r="B675" s="1126"/>
      <c r="C675" s="1126"/>
      <c r="D675" s="1126"/>
      <c r="E675" s="1126"/>
      <c r="F675" s="1126"/>
      <c r="G675" s="1126"/>
      <c r="H675" s="1126"/>
      <c r="I675" s="1126"/>
      <c r="J675" s="1126"/>
      <c r="K675" s="1126"/>
      <c r="L675" s="1126"/>
      <c r="M675" s="1126"/>
      <c r="N675" s="1126"/>
      <c r="O675" s="1126"/>
      <c r="P675" s="1126"/>
      <c r="Q675" s="1126"/>
      <c r="R675" s="1126"/>
      <c r="S675" s="1126"/>
      <c r="T675" s="1126"/>
      <c r="U675" s="1126"/>
      <c r="V675" s="1126"/>
      <c r="W675" s="1126"/>
      <c r="X675" s="1126"/>
      <c r="Y675" s="1126"/>
      <c r="Z675" s="1126"/>
      <c r="AA675" s="1126"/>
      <c r="AB675" s="1126"/>
    </row>
    <row r="676" ht="15.75" customHeight="1">
      <c r="B676" s="1126"/>
      <c r="C676" s="1126"/>
      <c r="D676" s="1126"/>
      <c r="E676" s="1126"/>
      <c r="F676" s="1126"/>
      <c r="G676" s="1126"/>
      <c r="H676" s="1126"/>
      <c r="I676" s="1126"/>
      <c r="J676" s="1126"/>
      <c r="K676" s="1126"/>
      <c r="L676" s="1126"/>
      <c r="M676" s="1126"/>
      <c r="N676" s="1126"/>
      <c r="O676" s="1126"/>
      <c r="P676" s="1126"/>
      <c r="Q676" s="1126"/>
      <c r="R676" s="1126"/>
      <c r="S676" s="1126"/>
      <c r="T676" s="1126"/>
      <c r="U676" s="1126"/>
      <c r="V676" s="1126"/>
      <c r="W676" s="1126"/>
      <c r="X676" s="1126"/>
      <c r="Y676" s="1126"/>
      <c r="Z676" s="1126"/>
      <c r="AA676" s="1126"/>
      <c r="AB676" s="1126"/>
    </row>
    <row r="677" ht="15.75" customHeight="1">
      <c r="B677" s="1126"/>
      <c r="C677" s="1126"/>
      <c r="D677" s="1126"/>
      <c r="E677" s="1126"/>
      <c r="F677" s="1126"/>
      <c r="G677" s="1126"/>
      <c r="H677" s="1126"/>
      <c r="I677" s="1126"/>
      <c r="J677" s="1126"/>
      <c r="K677" s="1126"/>
      <c r="L677" s="1126"/>
      <c r="M677" s="1126"/>
      <c r="N677" s="1126"/>
      <c r="O677" s="1126"/>
      <c r="P677" s="1126"/>
      <c r="Q677" s="1126"/>
      <c r="R677" s="1126"/>
      <c r="S677" s="1126"/>
      <c r="T677" s="1126"/>
      <c r="U677" s="1126"/>
      <c r="V677" s="1126"/>
      <c r="W677" s="1126"/>
      <c r="X677" s="1126"/>
      <c r="Y677" s="1126"/>
      <c r="Z677" s="1126"/>
      <c r="AA677" s="1126"/>
      <c r="AB677" s="1126"/>
    </row>
    <row r="678" ht="15.75" customHeight="1">
      <c r="B678" s="1126"/>
      <c r="C678" s="1126"/>
      <c r="D678" s="1126"/>
      <c r="E678" s="1126"/>
      <c r="F678" s="1126"/>
      <c r="G678" s="1126"/>
      <c r="H678" s="1126"/>
      <c r="I678" s="1126"/>
      <c r="J678" s="1126"/>
      <c r="K678" s="1126"/>
      <c r="L678" s="1126"/>
      <c r="M678" s="1126"/>
      <c r="N678" s="1126"/>
      <c r="O678" s="1126"/>
      <c r="P678" s="1126"/>
      <c r="Q678" s="1126"/>
      <c r="R678" s="1126"/>
      <c r="S678" s="1126"/>
      <c r="T678" s="1126"/>
      <c r="U678" s="1126"/>
      <c r="V678" s="1126"/>
      <c r="W678" s="1126"/>
      <c r="X678" s="1126"/>
      <c r="Y678" s="1126"/>
      <c r="Z678" s="1126"/>
      <c r="AA678" s="1126"/>
      <c r="AB678" s="1126"/>
    </row>
    <row r="679" ht="15.75" customHeight="1">
      <c r="B679" s="1126"/>
      <c r="C679" s="1126"/>
      <c r="D679" s="1126"/>
      <c r="E679" s="1126"/>
      <c r="F679" s="1126"/>
      <c r="G679" s="1126"/>
      <c r="H679" s="1126"/>
      <c r="I679" s="1126"/>
      <c r="J679" s="1126"/>
      <c r="K679" s="1126"/>
      <c r="L679" s="1126"/>
      <c r="M679" s="1126"/>
      <c r="N679" s="1126"/>
      <c r="O679" s="1126"/>
      <c r="P679" s="1126"/>
      <c r="Q679" s="1126"/>
      <c r="R679" s="1126"/>
      <c r="S679" s="1126"/>
      <c r="T679" s="1126"/>
      <c r="U679" s="1126"/>
      <c r="V679" s="1126"/>
      <c r="W679" s="1126"/>
      <c r="X679" s="1126"/>
      <c r="Y679" s="1126"/>
      <c r="Z679" s="1126"/>
      <c r="AA679" s="1126"/>
      <c r="AB679" s="1126"/>
    </row>
    <row r="680" ht="15.75" customHeight="1">
      <c r="B680" s="1126"/>
      <c r="C680" s="1126"/>
      <c r="D680" s="1126"/>
      <c r="E680" s="1126"/>
      <c r="F680" s="1126"/>
      <c r="G680" s="1126"/>
      <c r="H680" s="1126"/>
      <c r="I680" s="1126"/>
      <c r="J680" s="1126"/>
      <c r="K680" s="1126"/>
      <c r="L680" s="1126"/>
      <c r="M680" s="1126"/>
      <c r="N680" s="1126"/>
      <c r="O680" s="1126"/>
      <c r="P680" s="1126"/>
      <c r="Q680" s="1126"/>
      <c r="R680" s="1126"/>
      <c r="S680" s="1126"/>
      <c r="T680" s="1126"/>
      <c r="U680" s="1126"/>
      <c r="V680" s="1126"/>
      <c r="W680" s="1126"/>
      <c r="X680" s="1126"/>
      <c r="Y680" s="1126"/>
      <c r="Z680" s="1126"/>
      <c r="AA680" s="1126"/>
      <c r="AB680" s="1126"/>
    </row>
    <row r="681" ht="15.75" customHeight="1">
      <c r="B681" s="1126"/>
      <c r="C681" s="1126"/>
      <c r="D681" s="1126"/>
      <c r="E681" s="1126"/>
      <c r="F681" s="1126"/>
      <c r="G681" s="1126"/>
      <c r="H681" s="1126"/>
      <c r="I681" s="1126"/>
      <c r="J681" s="1126"/>
      <c r="K681" s="1126"/>
      <c r="L681" s="1126"/>
      <c r="M681" s="1126"/>
      <c r="N681" s="1126"/>
      <c r="O681" s="1126"/>
      <c r="P681" s="1126"/>
      <c r="Q681" s="1126"/>
      <c r="R681" s="1126"/>
      <c r="S681" s="1126"/>
      <c r="T681" s="1126"/>
      <c r="U681" s="1126"/>
      <c r="V681" s="1126"/>
      <c r="W681" s="1126"/>
      <c r="X681" s="1126"/>
      <c r="Y681" s="1126"/>
      <c r="Z681" s="1126"/>
      <c r="AA681" s="1126"/>
      <c r="AB681" s="1126"/>
    </row>
    <row r="682" ht="15.75" customHeight="1">
      <c r="B682" s="1126"/>
      <c r="C682" s="1126"/>
      <c r="D682" s="1126"/>
      <c r="E682" s="1126"/>
      <c r="F682" s="1126"/>
      <c r="G682" s="1126"/>
      <c r="H682" s="1126"/>
      <c r="I682" s="1126"/>
      <c r="J682" s="1126"/>
      <c r="K682" s="1126"/>
      <c r="L682" s="1126"/>
      <c r="M682" s="1126"/>
      <c r="N682" s="1126"/>
      <c r="O682" s="1126"/>
      <c r="P682" s="1126"/>
      <c r="Q682" s="1126"/>
      <c r="R682" s="1126"/>
      <c r="S682" s="1126"/>
      <c r="T682" s="1126"/>
      <c r="U682" s="1126"/>
      <c r="V682" s="1126"/>
      <c r="W682" s="1126"/>
      <c r="X682" s="1126"/>
      <c r="Y682" s="1126"/>
      <c r="Z682" s="1126"/>
      <c r="AA682" s="1126"/>
      <c r="AB682" s="1126"/>
    </row>
    <row r="683" ht="15.75" customHeight="1">
      <c r="B683" s="1126"/>
      <c r="C683" s="1126"/>
      <c r="D683" s="1126"/>
      <c r="E683" s="1126"/>
      <c r="F683" s="1126"/>
      <c r="G683" s="1126"/>
      <c r="H683" s="1126"/>
      <c r="I683" s="1126"/>
      <c r="J683" s="1126"/>
      <c r="K683" s="1126"/>
      <c r="L683" s="1126"/>
      <c r="M683" s="1126"/>
      <c r="N683" s="1126"/>
      <c r="O683" s="1126"/>
      <c r="P683" s="1126"/>
      <c r="Q683" s="1126"/>
      <c r="R683" s="1126"/>
      <c r="S683" s="1126"/>
      <c r="T683" s="1126"/>
      <c r="U683" s="1126"/>
      <c r="V683" s="1126"/>
      <c r="W683" s="1126"/>
      <c r="X683" s="1126"/>
      <c r="Y683" s="1126"/>
      <c r="Z683" s="1126"/>
      <c r="AA683" s="1126"/>
      <c r="AB683" s="1126"/>
    </row>
    <row r="684" ht="15.75" customHeight="1">
      <c r="B684" s="1126"/>
      <c r="C684" s="1126"/>
      <c r="D684" s="1126"/>
      <c r="E684" s="1126"/>
      <c r="F684" s="1126"/>
      <c r="G684" s="1126"/>
      <c r="H684" s="1126"/>
      <c r="I684" s="1126"/>
      <c r="J684" s="1126"/>
      <c r="K684" s="1126"/>
      <c r="L684" s="1126"/>
      <c r="M684" s="1126"/>
      <c r="N684" s="1126"/>
      <c r="O684" s="1126"/>
      <c r="P684" s="1126"/>
      <c r="Q684" s="1126"/>
      <c r="R684" s="1126"/>
      <c r="S684" s="1126"/>
      <c r="T684" s="1126"/>
      <c r="U684" s="1126"/>
      <c r="V684" s="1126"/>
      <c r="W684" s="1126"/>
      <c r="X684" s="1126"/>
      <c r="Y684" s="1126"/>
      <c r="Z684" s="1126"/>
      <c r="AA684" s="1126"/>
      <c r="AB684" s="1126"/>
    </row>
    <row r="685" ht="15.75" customHeight="1">
      <c r="B685" s="1126"/>
      <c r="C685" s="1126"/>
      <c r="D685" s="1126"/>
      <c r="E685" s="1126"/>
      <c r="F685" s="1126"/>
      <c r="G685" s="1126"/>
      <c r="H685" s="1126"/>
      <c r="I685" s="1126"/>
      <c r="J685" s="1126"/>
      <c r="K685" s="1126"/>
      <c r="L685" s="1126"/>
      <c r="M685" s="1126"/>
      <c r="N685" s="1126"/>
      <c r="O685" s="1126"/>
      <c r="P685" s="1126"/>
      <c r="Q685" s="1126"/>
      <c r="R685" s="1126"/>
      <c r="S685" s="1126"/>
      <c r="T685" s="1126"/>
      <c r="U685" s="1126"/>
      <c r="V685" s="1126"/>
      <c r="W685" s="1126"/>
      <c r="X685" s="1126"/>
      <c r="Y685" s="1126"/>
      <c r="Z685" s="1126"/>
      <c r="AA685" s="1126"/>
      <c r="AB685" s="1126"/>
    </row>
    <row r="686" ht="15.75" customHeight="1">
      <c r="B686" s="1126"/>
      <c r="C686" s="1126"/>
      <c r="D686" s="1126"/>
      <c r="E686" s="1126"/>
      <c r="F686" s="1126"/>
      <c r="G686" s="1126"/>
      <c r="H686" s="1126"/>
      <c r="I686" s="1126"/>
      <c r="J686" s="1126"/>
      <c r="K686" s="1126"/>
      <c r="L686" s="1126"/>
      <c r="M686" s="1126"/>
      <c r="N686" s="1126"/>
      <c r="O686" s="1126"/>
      <c r="P686" s="1126"/>
      <c r="Q686" s="1126"/>
      <c r="R686" s="1126"/>
      <c r="S686" s="1126"/>
      <c r="T686" s="1126"/>
      <c r="U686" s="1126"/>
      <c r="V686" s="1126"/>
      <c r="W686" s="1126"/>
      <c r="X686" s="1126"/>
      <c r="Y686" s="1126"/>
      <c r="Z686" s="1126"/>
      <c r="AA686" s="1126"/>
      <c r="AB686" s="1126"/>
    </row>
    <row r="687" ht="15.75" customHeight="1">
      <c r="B687" s="1126"/>
      <c r="C687" s="1126"/>
      <c r="D687" s="1126"/>
      <c r="E687" s="1126"/>
      <c r="F687" s="1126"/>
      <c r="G687" s="1126"/>
      <c r="H687" s="1126"/>
      <c r="I687" s="1126"/>
      <c r="J687" s="1126"/>
      <c r="K687" s="1126"/>
      <c r="L687" s="1126"/>
      <c r="M687" s="1126"/>
      <c r="N687" s="1126"/>
      <c r="O687" s="1126"/>
      <c r="P687" s="1126"/>
      <c r="Q687" s="1126"/>
      <c r="R687" s="1126"/>
      <c r="S687" s="1126"/>
      <c r="T687" s="1126"/>
      <c r="U687" s="1126"/>
      <c r="V687" s="1126"/>
      <c r="W687" s="1126"/>
      <c r="X687" s="1126"/>
      <c r="Y687" s="1126"/>
      <c r="Z687" s="1126"/>
      <c r="AA687" s="1126"/>
      <c r="AB687" s="1126"/>
    </row>
    <row r="688" ht="15.75" customHeight="1">
      <c r="B688" s="1126"/>
      <c r="C688" s="1126"/>
      <c r="D688" s="1126"/>
      <c r="E688" s="1126"/>
      <c r="F688" s="1126"/>
      <c r="G688" s="1126"/>
      <c r="H688" s="1126"/>
      <c r="I688" s="1126"/>
      <c r="J688" s="1126"/>
      <c r="K688" s="1126"/>
      <c r="L688" s="1126"/>
      <c r="M688" s="1126"/>
      <c r="N688" s="1126"/>
      <c r="O688" s="1126"/>
      <c r="P688" s="1126"/>
      <c r="Q688" s="1126"/>
      <c r="R688" s="1126"/>
      <c r="S688" s="1126"/>
      <c r="T688" s="1126"/>
      <c r="U688" s="1126"/>
      <c r="V688" s="1126"/>
      <c r="W688" s="1126"/>
      <c r="X688" s="1126"/>
      <c r="Y688" s="1126"/>
      <c r="Z688" s="1126"/>
      <c r="AA688" s="1126"/>
      <c r="AB688" s="1126"/>
    </row>
    <row r="689" ht="15.75" customHeight="1">
      <c r="B689" s="1126"/>
      <c r="C689" s="1126"/>
      <c r="D689" s="1126"/>
      <c r="E689" s="1126"/>
      <c r="F689" s="1126"/>
      <c r="G689" s="1126"/>
      <c r="H689" s="1126"/>
      <c r="I689" s="1126"/>
      <c r="J689" s="1126"/>
      <c r="K689" s="1126"/>
      <c r="L689" s="1126"/>
      <c r="M689" s="1126"/>
      <c r="N689" s="1126"/>
      <c r="O689" s="1126"/>
      <c r="P689" s="1126"/>
      <c r="Q689" s="1126"/>
      <c r="R689" s="1126"/>
      <c r="S689" s="1126"/>
      <c r="T689" s="1126"/>
      <c r="U689" s="1126"/>
      <c r="V689" s="1126"/>
      <c r="W689" s="1126"/>
      <c r="X689" s="1126"/>
      <c r="Y689" s="1126"/>
      <c r="Z689" s="1126"/>
      <c r="AA689" s="1126"/>
      <c r="AB689" s="1126"/>
    </row>
    <row r="690" ht="15.75" customHeight="1">
      <c r="B690" s="1126"/>
      <c r="C690" s="1126"/>
      <c r="D690" s="1126"/>
      <c r="E690" s="1126"/>
      <c r="F690" s="1126"/>
      <c r="G690" s="1126"/>
      <c r="H690" s="1126"/>
      <c r="I690" s="1126"/>
      <c r="J690" s="1126"/>
      <c r="K690" s="1126"/>
      <c r="L690" s="1126"/>
      <c r="M690" s="1126"/>
      <c r="N690" s="1126"/>
      <c r="O690" s="1126"/>
      <c r="P690" s="1126"/>
      <c r="Q690" s="1126"/>
      <c r="R690" s="1126"/>
      <c r="S690" s="1126"/>
      <c r="T690" s="1126"/>
      <c r="U690" s="1126"/>
      <c r="V690" s="1126"/>
      <c r="W690" s="1126"/>
      <c r="X690" s="1126"/>
      <c r="Y690" s="1126"/>
      <c r="Z690" s="1126"/>
      <c r="AA690" s="1126"/>
      <c r="AB690" s="1126"/>
    </row>
    <row r="691" ht="15.75" customHeight="1">
      <c r="B691" s="1126"/>
      <c r="C691" s="1126"/>
      <c r="D691" s="1126"/>
      <c r="E691" s="1126"/>
      <c r="F691" s="1126"/>
      <c r="G691" s="1126"/>
      <c r="H691" s="1126"/>
      <c r="I691" s="1126"/>
      <c r="J691" s="1126"/>
      <c r="K691" s="1126"/>
      <c r="L691" s="1126"/>
      <c r="M691" s="1126"/>
      <c r="N691" s="1126"/>
      <c r="O691" s="1126"/>
      <c r="P691" s="1126"/>
      <c r="Q691" s="1126"/>
      <c r="R691" s="1126"/>
      <c r="S691" s="1126"/>
      <c r="T691" s="1126"/>
      <c r="U691" s="1126"/>
      <c r="V691" s="1126"/>
      <c r="W691" s="1126"/>
      <c r="X691" s="1126"/>
      <c r="Y691" s="1126"/>
      <c r="Z691" s="1126"/>
      <c r="AA691" s="1126"/>
      <c r="AB691" s="1126"/>
    </row>
    <row r="692" ht="15.75" customHeight="1">
      <c r="B692" s="1126"/>
      <c r="C692" s="1126"/>
      <c r="D692" s="1126"/>
      <c r="E692" s="1126"/>
      <c r="F692" s="1126"/>
      <c r="G692" s="1126"/>
      <c r="H692" s="1126"/>
      <c r="I692" s="1126"/>
      <c r="J692" s="1126"/>
      <c r="K692" s="1126"/>
      <c r="L692" s="1126"/>
      <c r="M692" s="1126"/>
      <c r="N692" s="1126"/>
      <c r="O692" s="1126"/>
      <c r="P692" s="1126"/>
      <c r="Q692" s="1126"/>
      <c r="R692" s="1126"/>
      <c r="S692" s="1126"/>
      <c r="T692" s="1126"/>
      <c r="U692" s="1126"/>
      <c r="V692" s="1126"/>
      <c r="W692" s="1126"/>
      <c r="X692" s="1126"/>
      <c r="Y692" s="1126"/>
      <c r="Z692" s="1126"/>
      <c r="AA692" s="1126"/>
      <c r="AB692" s="1126"/>
    </row>
    <row r="693" ht="15.75" customHeight="1">
      <c r="B693" s="1126"/>
      <c r="C693" s="1126"/>
      <c r="D693" s="1126"/>
      <c r="E693" s="1126"/>
      <c r="F693" s="1126"/>
      <c r="G693" s="1126"/>
      <c r="H693" s="1126"/>
      <c r="I693" s="1126"/>
      <c r="J693" s="1126"/>
      <c r="K693" s="1126"/>
      <c r="L693" s="1126"/>
      <c r="M693" s="1126"/>
      <c r="N693" s="1126"/>
      <c r="O693" s="1126"/>
      <c r="P693" s="1126"/>
      <c r="Q693" s="1126"/>
      <c r="R693" s="1126"/>
      <c r="S693" s="1126"/>
      <c r="T693" s="1126"/>
      <c r="U693" s="1126"/>
      <c r="V693" s="1126"/>
      <c r="W693" s="1126"/>
      <c r="X693" s="1126"/>
      <c r="Y693" s="1126"/>
      <c r="Z693" s="1126"/>
      <c r="AA693" s="1126"/>
      <c r="AB693" s="1126"/>
    </row>
    <row r="694" ht="15.75" customHeight="1">
      <c r="B694" s="1126"/>
      <c r="C694" s="1126"/>
      <c r="D694" s="1126"/>
      <c r="E694" s="1126"/>
      <c r="F694" s="1126"/>
      <c r="G694" s="1126"/>
      <c r="H694" s="1126"/>
      <c r="I694" s="1126"/>
      <c r="J694" s="1126"/>
      <c r="K694" s="1126"/>
      <c r="L694" s="1126"/>
      <c r="M694" s="1126"/>
      <c r="N694" s="1126"/>
      <c r="O694" s="1126"/>
      <c r="P694" s="1126"/>
      <c r="Q694" s="1126"/>
      <c r="R694" s="1126"/>
      <c r="S694" s="1126"/>
      <c r="T694" s="1126"/>
      <c r="U694" s="1126"/>
      <c r="V694" s="1126"/>
      <c r="W694" s="1126"/>
      <c r="X694" s="1126"/>
      <c r="Y694" s="1126"/>
      <c r="Z694" s="1126"/>
      <c r="AA694" s="1126"/>
      <c r="AB694" s="1126"/>
    </row>
    <row r="695" ht="15.75" customHeight="1">
      <c r="B695" s="1126"/>
      <c r="C695" s="1126"/>
      <c r="D695" s="1126"/>
      <c r="E695" s="1126"/>
      <c r="F695" s="1126"/>
      <c r="G695" s="1126"/>
      <c r="H695" s="1126"/>
      <c r="I695" s="1126"/>
      <c r="J695" s="1126"/>
      <c r="K695" s="1126"/>
      <c r="L695" s="1126"/>
      <c r="M695" s="1126"/>
      <c r="N695" s="1126"/>
      <c r="O695" s="1126"/>
      <c r="P695" s="1126"/>
      <c r="Q695" s="1126"/>
      <c r="R695" s="1126"/>
      <c r="S695" s="1126"/>
      <c r="T695" s="1126"/>
      <c r="U695" s="1126"/>
      <c r="V695" s="1126"/>
      <c r="W695" s="1126"/>
      <c r="X695" s="1126"/>
      <c r="Y695" s="1126"/>
      <c r="Z695" s="1126"/>
      <c r="AA695" s="1126"/>
      <c r="AB695" s="1126"/>
    </row>
    <row r="696" ht="15.75" customHeight="1">
      <c r="B696" s="1126"/>
      <c r="C696" s="1126"/>
      <c r="D696" s="1126"/>
      <c r="E696" s="1126"/>
      <c r="F696" s="1126"/>
      <c r="G696" s="1126"/>
      <c r="H696" s="1126"/>
      <c r="I696" s="1126"/>
      <c r="J696" s="1126"/>
      <c r="K696" s="1126"/>
      <c r="L696" s="1126"/>
      <c r="M696" s="1126"/>
      <c r="N696" s="1126"/>
      <c r="O696" s="1126"/>
      <c r="P696" s="1126"/>
      <c r="Q696" s="1126"/>
      <c r="R696" s="1126"/>
      <c r="S696" s="1126"/>
      <c r="T696" s="1126"/>
      <c r="U696" s="1126"/>
      <c r="V696" s="1126"/>
      <c r="W696" s="1126"/>
      <c r="X696" s="1126"/>
      <c r="Y696" s="1126"/>
      <c r="Z696" s="1126"/>
      <c r="AA696" s="1126"/>
      <c r="AB696" s="1126"/>
    </row>
    <row r="697" ht="15.75" customHeight="1">
      <c r="B697" s="1126"/>
      <c r="C697" s="1126"/>
      <c r="D697" s="1126"/>
      <c r="E697" s="1126"/>
      <c r="F697" s="1126"/>
      <c r="G697" s="1126"/>
      <c r="H697" s="1126"/>
      <c r="I697" s="1126"/>
      <c r="J697" s="1126"/>
      <c r="K697" s="1126"/>
      <c r="L697" s="1126"/>
      <c r="M697" s="1126"/>
      <c r="N697" s="1126"/>
      <c r="O697" s="1126"/>
      <c r="P697" s="1126"/>
      <c r="Q697" s="1126"/>
      <c r="R697" s="1126"/>
      <c r="S697" s="1126"/>
      <c r="T697" s="1126"/>
      <c r="U697" s="1126"/>
      <c r="V697" s="1126"/>
      <c r="W697" s="1126"/>
      <c r="X697" s="1126"/>
      <c r="Y697" s="1126"/>
      <c r="Z697" s="1126"/>
      <c r="AA697" s="1126"/>
      <c r="AB697" s="1126"/>
    </row>
    <row r="698" ht="15.75" customHeight="1">
      <c r="B698" s="1126"/>
      <c r="C698" s="1126"/>
      <c r="D698" s="1126"/>
      <c r="E698" s="1126"/>
      <c r="F698" s="1126"/>
      <c r="G698" s="1126"/>
      <c r="H698" s="1126"/>
      <c r="I698" s="1126"/>
      <c r="J698" s="1126"/>
      <c r="K698" s="1126"/>
      <c r="L698" s="1126"/>
      <c r="M698" s="1126"/>
      <c r="N698" s="1126"/>
      <c r="O698" s="1126"/>
      <c r="P698" s="1126"/>
      <c r="Q698" s="1126"/>
      <c r="R698" s="1126"/>
      <c r="S698" s="1126"/>
      <c r="T698" s="1126"/>
      <c r="U698" s="1126"/>
      <c r="V698" s="1126"/>
      <c r="W698" s="1126"/>
      <c r="X698" s="1126"/>
      <c r="Y698" s="1126"/>
      <c r="Z698" s="1126"/>
      <c r="AA698" s="1126"/>
      <c r="AB698" s="1126"/>
    </row>
    <row r="699" ht="15.75" customHeight="1">
      <c r="B699" s="1126"/>
      <c r="C699" s="1126"/>
      <c r="D699" s="1126"/>
      <c r="E699" s="1126"/>
      <c r="F699" s="1126"/>
      <c r="G699" s="1126"/>
      <c r="H699" s="1126"/>
      <c r="I699" s="1126"/>
      <c r="J699" s="1126"/>
      <c r="K699" s="1126"/>
      <c r="L699" s="1126"/>
      <c r="M699" s="1126"/>
      <c r="N699" s="1126"/>
      <c r="O699" s="1126"/>
      <c r="P699" s="1126"/>
      <c r="Q699" s="1126"/>
      <c r="R699" s="1126"/>
      <c r="S699" s="1126"/>
      <c r="T699" s="1126"/>
      <c r="U699" s="1126"/>
      <c r="V699" s="1126"/>
      <c r="W699" s="1126"/>
      <c r="X699" s="1126"/>
      <c r="Y699" s="1126"/>
      <c r="Z699" s="1126"/>
      <c r="AA699" s="1126"/>
      <c r="AB699" s="1126"/>
    </row>
    <row r="700" ht="15.75" customHeight="1">
      <c r="B700" s="1126"/>
      <c r="C700" s="1126"/>
      <c r="D700" s="1126"/>
      <c r="E700" s="1126"/>
      <c r="F700" s="1126"/>
      <c r="G700" s="1126"/>
      <c r="H700" s="1126"/>
      <c r="I700" s="1126"/>
      <c r="J700" s="1126"/>
      <c r="K700" s="1126"/>
      <c r="L700" s="1126"/>
      <c r="M700" s="1126"/>
      <c r="N700" s="1126"/>
      <c r="O700" s="1126"/>
      <c r="P700" s="1126"/>
      <c r="Q700" s="1126"/>
      <c r="R700" s="1126"/>
      <c r="S700" s="1126"/>
      <c r="T700" s="1126"/>
      <c r="U700" s="1126"/>
      <c r="V700" s="1126"/>
      <c r="W700" s="1126"/>
      <c r="X700" s="1126"/>
      <c r="Y700" s="1126"/>
      <c r="Z700" s="1126"/>
      <c r="AA700" s="1126"/>
      <c r="AB700" s="1126"/>
    </row>
    <row r="701" ht="15.75" customHeight="1">
      <c r="B701" s="1126"/>
      <c r="C701" s="1126"/>
      <c r="D701" s="1126"/>
      <c r="E701" s="1126"/>
      <c r="F701" s="1126"/>
      <c r="G701" s="1126"/>
      <c r="H701" s="1126"/>
      <c r="I701" s="1126"/>
      <c r="J701" s="1126"/>
      <c r="K701" s="1126"/>
      <c r="L701" s="1126"/>
      <c r="M701" s="1126"/>
      <c r="N701" s="1126"/>
      <c r="O701" s="1126"/>
      <c r="P701" s="1126"/>
      <c r="Q701" s="1126"/>
      <c r="R701" s="1126"/>
      <c r="S701" s="1126"/>
      <c r="T701" s="1126"/>
      <c r="U701" s="1126"/>
      <c r="V701" s="1126"/>
      <c r="W701" s="1126"/>
      <c r="X701" s="1126"/>
      <c r="Y701" s="1126"/>
      <c r="Z701" s="1126"/>
      <c r="AA701" s="1126"/>
      <c r="AB701" s="1126"/>
    </row>
    <row r="702" ht="15.75" customHeight="1">
      <c r="B702" s="1126"/>
      <c r="C702" s="1126"/>
      <c r="D702" s="1126"/>
      <c r="E702" s="1126"/>
      <c r="F702" s="1126"/>
      <c r="G702" s="1126"/>
      <c r="H702" s="1126"/>
      <c r="I702" s="1126"/>
      <c r="J702" s="1126"/>
      <c r="K702" s="1126"/>
      <c r="L702" s="1126"/>
      <c r="M702" s="1126"/>
      <c r="N702" s="1126"/>
      <c r="O702" s="1126"/>
      <c r="P702" s="1126"/>
      <c r="Q702" s="1126"/>
      <c r="R702" s="1126"/>
      <c r="S702" s="1126"/>
      <c r="T702" s="1126"/>
      <c r="U702" s="1126"/>
      <c r="V702" s="1126"/>
      <c r="W702" s="1126"/>
      <c r="X702" s="1126"/>
      <c r="Y702" s="1126"/>
      <c r="Z702" s="1126"/>
      <c r="AA702" s="1126"/>
      <c r="AB702" s="1126"/>
    </row>
    <row r="703" ht="15.75" customHeight="1">
      <c r="B703" s="1126"/>
      <c r="C703" s="1126"/>
      <c r="D703" s="1126"/>
      <c r="E703" s="1126"/>
      <c r="F703" s="1126"/>
      <c r="G703" s="1126"/>
      <c r="H703" s="1126"/>
      <c r="I703" s="1126"/>
      <c r="J703" s="1126"/>
      <c r="K703" s="1126"/>
      <c r="L703" s="1126"/>
      <c r="M703" s="1126"/>
      <c r="N703" s="1126"/>
      <c r="O703" s="1126"/>
      <c r="P703" s="1126"/>
      <c r="Q703" s="1126"/>
      <c r="R703" s="1126"/>
      <c r="S703" s="1126"/>
      <c r="T703" s="1126"/>
      <c r="U703" s="1126"/>
      <c r="V703" s="1126"/>
      <c r="W703" s="1126"/>
      <c r="X703" s="1126"/>
      <c r="Y703" s="1126"/>
      <c r="Z703" s="1126"/>
      <c r="AA703" s="1126"/>
      <c r="AB703" s="1126"/>
    </row>
    <row r="704" ht="15.75" customHeight="1">
      <c r="B704" s="1126"/>
      <c r="C704" s="1126"/>
      <c r="D704" s="1126"/>
      <c r="E704" s="1126"/>
      <c r="F704" s="1126"/>
      <c r="G704" s="1126"/>
      <c r="H704" s="1126"/>
      <c r="I704" s="1126"/>
      <c r="J704" s="1126"/>
      <c r="K704" s="1126"/>
      <c r="L704" s="1126"/>
      <c r="M704" s="1126"/>
      <c r="N704" s="1126"/>
      <c r="O704" s="1126"/>
      <c r="P704" s="1126"/>
      <c r="Q704" s="1126"/>
      <c r="R704" s="1126"/>
      <c r="S704" s="1126"/>
      <c r="T704" s="1126"/>
      <c r="U704" s="1126"/>
      <c r="V704" s="1126"/>
      <c r="W704" s="1126"/>
      <c r="X704" s="1126"/>
      <c r="Y704" s="1126"/>
      <c r="Z704" s="1126"/>
      <c r="AA704" s="1126"/>
      <c r="AB704" s="1126"/>
    </row>
    <row r="705" ht="15.75" customHeight="1">
      <c r="B705" s="1126"/>
      <c r="C705" s="1126"/>
      <c r="D705" s="1126"/>
      <c r="E705" s="1126"/>
      <c r="F705" s="1126"/>
      <c r="G705" s="1126"/>
      <c r="H705" s="1126"/>
      <c r="I705" s="1126"/>
      <c r="J705" s="1126"/>
      <c r="K705" s="1126"/>
      <c r="L705" s="1126"/>
      <c r="M705" s="1126"/>
      <c r="N705" s="1126"/>
      <c r="O705" s="1126"/>
      <c r="P705" s="1126"/>
      <c r="Q705" s="1126"/>
      <c r="R705" s="1126"/>
      <c r="S705" s="1126"/>
      <c r="T705" s="1126"/>
      <c r="U705" s="1126"/>
      <c r="V705" s="1126"/>
      <c r="W705" s="1126"/>
      <c r="X705" s="1126"/>
      <c r="Y705" s="1126"/>
      <c r="Z705" s="1126"/>
      <c r="AA705" s="1126"/>
      <c r="AB705" s="1126"/>
    </row>
    <row r="706" ht="15.75" customHeight="1">
      <c r="B706" s="1126"/>
      <c r="C706" s="1126"/>
      <c r="D706" s="1126"/>
      <c r="E706" s="1126"/>
      <c r="F706" s="1126"/>
      <c r="G706" s="1126"/>
      <c r="H706" s="1126"/>
      <c r="I706" s="1126"/>
      <c r="J706" s="1126"/>
      <c r="K706" s="1126"/>
      <c r="L706" s="1126"/>
      <c r="M706" s="1126"/>
      <c r="N706" s="1126"/>
      <c r="O706" s="1126"/>
      <c r="P706" s="1126"/>
      <c r="Q706" s="1126"/>
      <c r="R706" s="1126"/>
      <c r="S706" s="1126"/>
      <c r="T706" s="1126"/>
      <c r="U706" s="1126"/>
      <c r="V706" s="1126"/>
      <c r="W706" s="1126"/>
      <c r="X706" s="1126"/>
      <c r="Y706" s="1126"/>
      <c r="Z706" s="1126"/>
      <c r="AA706" s="1126"/>
      <c r="AB706" s="1126"/>
    </row>
    <row r="707" ht="15.75" customHeight="1">
      <c r="B707" s="1126"/>
      <c r="C707" s="1126"/>
      <c r="D707" s="1126"/>
      <c r="E707" s="1126"/>
      <c r="F707" s="1126"/>
      <c r="G707" s="1126"/>
      <c r="H707" s="1126"/>
      <c r="I707" s="1126"/>
      <c r="J707" s="1126"/>
      <c r="K707" s="1126"/>
      <c r="L707" s="1126"/>
      <c r="M707" s="1126"/>
      <c r="N707" s="1126"/>
      <c r="O707" s="1126"/>
      <c r="P707" s="1126"/>
      <c r="Q707" s="1126"/>
      <c r="R707" s="1126"/>
      <c r="S707" s="1126"/>
      <c r="T707" s="1126"/>
      <c r="U707" s="1126"/>
      <c r="V707" s="1126"/>
      <c r="W707" s="1126"/>
      <c r="X707" s="1126"/>
      <c r="Y707" s="1126"/>
      <c r="Z707" s="1126"/>
      <c r="AA707" s="1126"/>
      <c r="AB707" s="1126"/>
    </row>
    <row r="708" ht="15.75" customHeight="1">
      <c r="B708" s="1126"/>
      <c r="C708" s="1126"/>
      <c r="D708" s="1126"/>
      <c r="E708" s="1126"/>
      <c r="F708" s="1126"/>
      <c r="G708" s="1126"/>
      <c r="H708" s="1126"/>
      <c r="I708" s="1126"/>
      <c r="J708" s="1126"/>
      <c r="K708" s="1126"/>
      <c r="L708" s="1126"/>
      <c r="M708" s="1126"/>
      <c r="N708" s="1126"/>
      <c r="O708" s="1126"/>
      <c r="P708" s="1126"/>
      <c r="Q708" s="1126"/>
      <c r="R708" s="1126"/>
      <c r="S708" s="1126"/>
      <c r="T708" s="1126"/>
      <c r="U708" s="1126"/>
      <c r="V708" s="1126"/>
      <c r="W708" s="1126"/>
      <c r="X708" s="1126"/>
      <c r="Y708" s="1126"/>
      <c r="Z708" s="1126"/>
      <c r="AA708" s="1126"/>
      <c r="AB708" s="1126"/>
    </row>
    <row r="709" ht="15.75" customHeight="1">
      <c r="B709" s="1126"/>
      <c r="C709" s="1126"/>
      <c r="D709" s="1126"/>
      <c r="E709" s="1126"/>
      <c r="F709" s="1126"/>
      <c r="G709" s="1126"/>
      <c r="H709" s="1126"/>
      <c r="I709" s="1126"/>
      <c r="J709" s="1126"/>
      <c r="K709" s="1126"/>
      <c r="L709" s="1126"/>
      <c r="M709" s="1126"/>
      <c r="N709" s="1126"/>
      <c r="O709" s="1126"/>
      <c r="P709" s="1126"/>
      <c r="Q709" s="1126"/>
      <c r="R709" s="1126"/>
      <c r="S709" s="1126"/>
      <c r="T709" s="1126"/>
      <c r="U709" s="1126"/>
      <c r="V709" s="1126"/>
      <c r="W709" s="1126"/>
      <c r="X709" s="1126"/>
      <c r="Y709" s="1126"/>
      <c r="Z709" s="1126"/>
      <c r="AA709" s="1126"/>
      <c r="AB709" s="1126"/>
    </row>
    <row r="710" ht="15.75" customHeight="1">
      <c r="B710" s="1126"/>
      <c r="C710" s="1126"/>
      <c r="D710" s="1126"/>
      <c r="E710" s="1126"/>
      <c r="F710" s="1126"/>
      <c r="G710" s="1126"/>
      <c r="H710" s="1126"/>
      <c r="I710" s="1126"/>
      <c r="J710" s="1126"/>
      <c r="K710" s="1126"/>
      <c r="L710" s="1126"/>
      <c r="M710" s="1126"/>
      <c r="N710" s="1126"/>
      <c r="O710" s="1126"/>
      <c r="P710" s="1126"/>
      <c r="Q710" s="1126"/>
      <c r="R710" s="1126"/>
      <c r="S710" s="1126"/>
      <c r="T710" s="1126"/>
      <c r="U710" s="1126"/>
      <c r="V710" s="1126"/>
      <c r="W710" s="1126"/>
      <c r="X710" s="1126"/>
      <c r="Y710" s="1126"/>
      <c r="Z710" s="1126"/>
      <c r="AA710" s="1126"/>
      <c r="AB710" s="1126"/>
    </row>
    <row r="711" ht="15.75" customHeight="1">
      <c r="B711" s="1126"/>
      <c r="C711" s="1126"/>
      <c r="D711" s="1126"/>
      <c r="E711" s="1126"/>
      <c r="F711" s="1126"/>
      <c r="G711" s="1126"/>
      <c r="H711" s="1126"/>
      <c r="I711" s="1126"/>
      <c r="J711" s="1126"/>
      <c r="K711" s="1126"/>
      <c r="L711" s="1126"/>
      <c r="M711" s="1126"/>
      <c r="N711" s="1126"/>
      <c r="O711" s="1126"/>
      <c r="P711" s="1126"/>
      <c r="Q711" s="1126"/>
      <c r="R711" s="1126"/>
      <c r="S711" s="1126"/>
      <c r="T711" s="1126"/>
      <c r="U711" s="1126"/>
      <c r="V711" s="1126"/>
      <c r="W711" s="1126"/>
      <c r="X711" s="1126"/>
      <c r="Y711" s="1126"/>
      <c r="Z711" s="1126"/>
      <c r="AA711" s="1126"/>
      <c r="AB711" s="1126"/>
    </row>
    <row r="712" ht="15.75" customHeight="1">
      <c r="B712" s="1126"/>
      <c r="C712" s="1126"/>
      <c r="D712" s="1126"/>
      <c r="E712" s="1126"/>
      <c r="F712" s="1126"/>
      <c r="G712" s="1126"/>
      <c r="H712" s="1126"/>
      <c r="I712" s="1126"/>
      <c r="J712" s="1126"/>
      <c r="K712" s="1126"/>
      <c r="L712" s="1126"/>
      <c r="M712" s="1126"/>
      <c r="N712" s="1126"/>
      <c r="O712" s="1126"/>
      <c r="P712" s="1126"/>
      <c r="Q712" s="1126"/>
      <c r="R712" s="1126"/>
      <c r="S712" s="1126"/>
      <c r="T712" s="1126"/>
      <c r="U712" s="1126"/>
      <c r="V712" s="1126"/>
      <c r="W712" s="1126"/>
      <c r="X712" s="1126"/>
      <c r="Y712" s="1126"/>
      <c r="Z712" s="1126"/>
      <c r="AA712" s="1126"/>
      <c r="AB712" s="1126"/>
    </row>
    <row r="713" ht="15.75" customHeight="1">
      <c r="B713" s="1126"/>
      <c r="C713" s="1126"/>
      <c r="D713" s="1126"/>
      <c r="E713" s="1126"/>
      <c r="F713" s="1126"/>
      <c r="G713" s="1126"/>
      <c r="H713" s="1126"/>
      <c r="I713" s="1126"/>
      <c r="J713" s="1126"/>
      <c r="K713" s="1126"/>
      <c r="L713" s="1126"/>
      <c r="M713" s="1126"/>
      <c r="N713" s="1126"/>
      <c r="O713" s="1126"/>
      <c r="P713" s="1126"/>
      <c r="Q713" s="1126"/>
      <c r="R713" s="1126"/>
      <c r="S713" s="1126"/>
      <c r="T713" s="1126"/>
      <c r="U713" s="1126"/>
      <c r="V713" s="1126"/>
      <c r="W713" s="1126"/>
      <c r="X713" s="1126"/>
      <c r="Y713" s="1126"/>
      <c r="Z713" s="1126"/>
      <c r="AA713" s="1126"/>
      <c r="AB713" s="1126"/>
    </row>
    <row r="714" ht="15.75" customHeight="1">
      <c r="B714" s="1126"/>
      <c r="C714" s="1126"/>
      <c r="D714" s="1126"/>
      <c r="E714" s="1126"/>
      <c r="F714" s="1126"/>
      <c r="G714" s="1126"/>
      <c r="H714" s="1126"/>
      <c r="I714" s="1126"/>
      <c r="J714" s="1126"/>
      <c r="K714" s="1126"/>
      <c r="L714" s="1126"/>
      <c r="M714" s="1126"/>
      <c r="N714" s="1126"/>
      <c r="O714" s="1126"/>
      <c r="P714" s="1126"/>
      <c r="Q714" s="1126"/>
      <c r="R714" s="1126"/>
      <c r="S714" s="1126"/>
      <c r="T714" s="1126"/>
      <c r="U714" s="1126"/>
      <c r="V714" s="1126"/>
      <c r="W714" s="1126"/>
      <c r="X714" s="1126"/>
      <c r="Y714" s="1126"/>
      <c r="Z714" s="1126"/>
      <c r="AA714" s="1126"/>
      <c r="AB714" s="1126"/>
    </row>
    <row r="715" ht="15.75" customHeight="1">
      <c r="B715" s="1126"/>
      <c r="C715" s="1126"/>
      <c r="D715" s="1126"/>
      <c r="E715" s="1126"/>
      <c r="F715" s="1126"/>
      <c r="G715" s="1126"/>
      <c r="H715" s="1126"/>
      <c r="I715" s="1126"/>
      <c r="J715" s="1126"/>
      <c r="K715" s="1126"/>
      <c r="L715" s="1126"/>
      <c r="M715" s="1126"/>
      <c r="N715" s="1126"/>
      <c r="O715" s="1126"/>
      <c r="P715" s="1126"/>
      <c r="Q715" s="1126"/>
      <c r="R715" s="1126"/>
      <c r="S715" s="1126"/>
      <c r="T715" s="1126"/>
      <c r="U715" s="1126"/>
      <c r="V715" s="1126"/>
      <c r="W715" s="1126"/>
      <c r="X715" s="1126"/>
      <c r="Y715" s="1126"/>
      <c r="Z715" s="1126"/>
      <c r="AA715" s="1126"/>
      <c r="AB715" s="1126"/>
    </row>
    <row r="716" ht="15.75" customHeight="1">
      <c r="B716" s="1126"/>
      <c r="C716" s="1126"/>
      <c r="D716" s="1126"/>
      <c r="E716" s="1126"/>
      <c r="F716" s="1126"/>
      <c r="G716" s="1126"/>
      <c r="H716" s="1126"/>
      <c r="I716" s="1126"/>
      <c r="J716" s="1126"/>
      <c r="K716" s="1126"/>
      <c r="L716" s="1126"/>
      <c r="M716" s="1126"/>
      <c r="N716" s="1126"/>
      <c r="O716" s="1126"/>
      <c r="P716" s="1126"/>
      <c r="Q716" s="1126"/>
      <c r="R716" s="1126"/>
      <c r="S716" s="1126"/>
      <c r="T716" s="1126"/>
      <c r="U716" s="1126"/>
      <c r="V716" s="1126"/>
      <c r="W716" s="1126"/>
      <c r="X716" s="1126"/>
      <c r="Y716" s="1126"/>
      <c r="Z716" s="1126"/>
      <c r="AA716" s="1126"/>
      <c r="AB716" s="1126"/>
    </row>
    <row r="717" ht="15.75" customHeight="1">
      <c r="B717" s="1126"/>
      <c r="C717" s="1126"/>
      <c r="D717" s="1126"/>
      <c r="E717" s="1126"/>
      <c r="F717" s="1126"/>
      <c r="G717" s="1126"/>
      <c r="H717" s="1126"/>
      <c r="I717" s="1126"/>
      <c r="J717" s="1126"/>
      <c r="K717" s="1126"/>
      <c r="L717" s="1126"/>
      <c r="M717" s="1126"/>
      <c r="N717" s="1126"/>
      <c r="O717" s="1126"/>
      <c r="P717" s="1126"/>
      <c r="Q717" s="1126"/>
      <c r="R717" s="1126"/>
      <c r="S717" s="1126"/>
      <c r="T717" s="1126"/>
      <c r="U717" s="1126"/>
      <c r="V717" s="1126"/>
      <c r="W717" s="1126"/>
      <c r="X717" s="1126"/>
      <c r="Y717" s="1126"/>
      <c r="Z717" s="1126"/>
      <c r="AA717" s="1126"/>
      <c r="AB717" s="1126"/>
    </row>
    <row r="718" ht="15.75" customHeight="1">
      <c r="B718" s="1126"/>
      <c r="C718" s="1126"/>
      <c r="D718" s="1126"/>
      <c r="E718" s="1126"/>
      <c r="F718" s="1126"/>
      <c r="G718" s="1126"/>
      <c r="H718" s="1126"/>
      <c r="I718" s="1126"/>
      <c r="J718" s="1126"/>
      <c r="K718" s="1126"/>
      <c r="L718" s="1126"/>
      <c r="M718" s="1126"/>
      <c r="N718" s="1126"/>
      <c r="O718" s="1126"/>
      <c r="P718" s="1126"/>
      <c r="Q718" s="1126"/>
      <c r="R718" s="1126"/>
      <c r="S718" s="1126"/>
      <c r="T718" s="1126"/>
      <c r="U718" s="1126"/>
      <c r="V718" s="1126"/>
      <c r="W718" s="1126"/>
      <c r="X718" s="1126"/>
      <c r="Y718" s="1126"/>
      <c r="Z718" s="1126"/>
      <c r="AA718" s="1126"/>
      <c r="AB718" s="1126"/>
    </row>
    <row r="719" ht="15.75" customHeight="1">
      <c r="B719" s="1126"/>
      <c r="C719" s="1126"/>
      <c r="D719" s="1126"/>
      <c r="E719" s="1126"/>
      <c r="F719" s="1126"/>
      <c r="G719" s="1126"/>
      <c r="H719" s="1126"/>
      <c r="I719" s="1126"/>
      <c r="J719" s="1126"/>
      <c r="K719" s="1126"/>
      <c r="L719" s="1126"/>
      <c r="M719" s="1126"/>
      <c r="N719" s="1126"/>
      <c r="O719" s="1126"/>
      <c r="P719" s="1126"/>
      <c r="Q719" s="1126"/>
      <c r="R719" s="1126"/>
      <c r="S719" s="1126"/>
      <c r="T719" s="1126"/>
      <c r="U719" s="1126"/>
      <c r="V719" s="1126"/>
      <c r="W719" s="1126"/>
      <c r="X719" s="1126"/>
      <c r="Y719" s="1126"/>
      <c r="Z719" s="1126"/>
      <c r="AA719" s="1126"/>
      <c r="AB719" s="1126"/>
    </row>
    <row r="720" ht="15.75" customHeight="1">
      <c r="B720" s="1126"/>
      <c r="C720" s="1126"/>
      <c r="D720" s="1126"/>
      <c r="E720" s="1126"/>
      <c r="F720" s="1126"/>
      <c r="G720" s="1126"/>
      <c r="H720" s="1126"/>
      <c r="I720" s="1126"/>
      <c r="J720" s="1126"/>
      <c r="K720" s="1126"/>
      <c r="L720" s="1126"/>
      <c r="M720" s="1126"/>
      <c r="N720" s="1126"/>
      <c r="O720" s="1126"/>
      <c r="P720" s="1126"/>
      <c r="Q720" s="1126"/>
      <c r="R720" s="1126"/>
      <c r="S720" s="1126"/>
      <c r="T720" s="1126"/>
      <c r="U720" s="1126"/>
      <c r="V720" s="1126"/>
      <c r="W720" s="1126"/>
      <c r="X720" s="1126"/>
      <c r="Y720" s="1126"/>
      <c r="Z720" s="1126"/>
      <c r="AA720" s="1126"/>
      <c r="AB720" s="1126"/>
    </row>
    <row r="721" ht="15.75" customHeight="1">
      <c r="B721" s="1126"/>
      <c r="C721" s="1126"/>
      <c r="D721" s="1126"/>
      <c r="E721" s="1126"/>
      <c r="F721" s="1126"/>
      <c r="G721" s="1126"/>
      <c r="H721" s="1126"/>
      <c r="I721" s="1126"/>
      <c r="J721" s="1126"/>
      <c r="K721" s="1126"/>
      <c r="L721" s="1126"/>
      <c r="M721" s="1126"/>
      <c r="N721" s="1126"/>
      <c r="O721" s="1126"/>
      <c r="P721" s="1126"/>
      <c r="Q721" s="1126"/>
      <c r="R721" s="1126"/>
      <c r="S721" s="1126"/>
      <c r="T721" s="1126"/>
      <c r="U721" s="1126"/>
      <c r="V721" s="1126"/>
      <c r="W721" s="1126"/>
      <c r="X721" s="1126"/>
      <c r="Y721" s="1126"/>
      <c r="Z721" s="1126"/>
      <c r="AA721" s="1126"/>
      <c r="AB721" s="1126"/>
    </row>
    <row r="722" ht="15.75" customHeight="1">
      <c r="B722" s="1126"/>
      <c r="C722" s="1126"/>
      <c r="D722" s="1126"/>
      <c r="E722" s="1126"/>
      <c r="F722" s="1126"/>
      <c r="G722" s="1126"/>
      <c r="H722" s="1126"/>
      <c r="I722" s="1126"/>
      <c r="J722" s="1126"/>
      <c r="K722" s="1126"/>
      <c r="L722" s="1126"/>
      <c r="M722" s="1126"/>
      <c r="N722" s="1126"/>
      <c r="O722" s="1126"/>
      <c r="P722" s="1126"/>
      <c r="Q722" s="1126"/>
      <c r="R722" s="1126"/>
      <c r="S722" s="1126"/>
      <c r="T722" s="1126"/>
      <c r="U722" s="1126"/>
      <c r="V722" s="1126"/>
      <c r="W722" s="1126"/>
      <c r="X722" s="1126"/>
      <c r="Y722" s="1126"/>
      <c r="Z722" s="1126"/>
      <c r="AA722" s="1126"/>
      <c r="AB722" s="1126"/>
    </row>
    <row r="723" ht="15.75" customHeight="1">
      <c r="B723" s="1126"/>
      <c r="C723" s="1126"/>
      <c r="D723" s="1126"/>
      <c r="E723" s="1126"/>
      <c r="F723" s="1126"/>
      <c r="G723" s="1126"/>
      <c r="H723" s="1126"/>
      <c r="I723" s="1126"/>
      <c r="J723" s="1126"/>
      <c r="K723" s="1126"/>
      <c r="L723" s="1126"/>
      <c r="M723" s="1126"/>
      <c r="N723" s="1126"/>
      <c r="O723" s="1126"/>
      <c r="P723" s="1126"/>
      <c r="Q723" s="1126"/>
      <c r="R723" s="1126"/>
      <c r="S723" s="1126"/>
      <c r="T723" s="1126"/>
      <c r="U723" s="1126"/>
      <c r="V723" s="1126"/>
      <c r="W723" s="1126"/>
      <c r="X723" s="1126"/>
      <c r="Y723" s="1126"/>
      <c r="Z723" s="1126"/>
      <c r="AA723" s="1126"/>
      <c r="AB723" s="1126"/>
    </row>
    <row r="724" ht="15.75" customHeight="1">
      <c r="B724" s="1126"/>
      <c r="C724" s="1126"/>
      <c r="D724" s="1126"/>
      <c r="E724" s="1126"/>
      <c r="F724" s="1126"/>
      <c r="G724" s="1126"/>
      <c r="H724" s="1126"/>
      <c r="I724" s="1126"/>
      <c r="J724" s="1126"/>
      <c r="K724" s="1126"/>
      <c r="L724" s="1126"/>
      <c r="M724" s="1126"/>
      <c r="N724" s="1126"/>
      <c r="O724" s="1126"/>
      <c r="P724" s="1126"/>
      <c r="Q724" s="1126"/>
      <c r="R724" s="1126"/>
      <c r="S724" s="1126"/>
      <c r="T724" s="1126"/>
      <c r="U724" s="1126"/>
      <c r="V724" s="1126"/>
      <c r="W724" s="1126"/>
      <c r="X724" s="1126"/>
      <c r="Y724" s="1126"/>
      <c r="Z724" s="1126"/>
      <c r="AA724" s="1126"/>
      <c r="AB724" s="1126"/>
    </row>
    <row r="725" ht="15.75" customHeight="1">
      <c r="B725" s="1126"/>
      <c r="C725" s="1126"/>
      <c r="D725" s="1126"/>
      <c r="E725" s="1126"/>
      <c r="F725" s="1126"/>
      <c r="G725" s="1126"/>
      <c r="H725" s="1126"/>
      <c r="I725" s="1126"/>
      <c r="J725" s="1126"/>
      <c r="K725" s="1126"/>
      <c r="L725" s="1126"/>
      <c r="M725" s="1126"/>
      <c r="N725" s="1126"/>
      <c r="O725" s="1126"/>
      <c r="P725" s="1126"/>
      <c r="Q725" s="1126"/>
      <c r="R725" s="1126"/>
      <c r="S725" s="1126"/>
      <c r="T725" s="1126"/>
      <c r="U725" s="1126"/>
      <c r="V725" s="1126"/>
      <c r="W725" s="1126"/>
      <c r="X725" s="1126"/>
      <c r="Y725" s="1126"/>
      <c r="Z725" s="1126"/>
      <c r="AA725" s="1126"/>
      <c r="AB725" s="1126"/>
    </row>
    <row r="726" ht="15.75" customHeight="1">
      <c r="B726" s="1126"/>
      <c r="C726" s="1126"/>
      <c r="D726" s="1126"/>
      <c r="E726" s="1126"/>
      <c r="F726" s="1126"/>
      <c r="G726" s="1126"/>
      <c r="H726" s="1126"/>
      <c r="I726" s="1126"/>
      <c r="J726" s="1126"/>
      <c r="K726" s="1126"/>
      <c r="L726" s="1126"/>
      <c r="M726" s="1126"/>
      <c r="N726" s="1126"/>
      <c r="O726" s="1126"/>
      <c r="P726" s="1126"/>
      <c r="Q726" s="1126"/>
      <c r="R726" s="1126"/>
      <c r="S726" s="1126"/>
      <c r="T726" s="1126"/>
      <c r="U726" s="1126"/>
      <c r="V726" s="1126"/>
      <c r="W726" s="1126"/>
      <c r="X726" s="1126"/>
      <c r="Y726" s="1126"/>
      <c r="Z726" s="1126"/>
      <c r="AA726" s="1126"/>
      <c r="AB726" s="1126"/>
    </row>
    <row r="727" ht="15.75" customHeight="1">
      <c r="B727" s="1126"/>
      <c r="C727" s="1126"/>
      <c r="D727" s="1126"/>
      <c r="E727" s="1126"/>
      <c r="F727" s="1126"/>
      <c r="G727" s="1126"/>
      <c r="H727" s="1126"/>
      <c r="I727" s="1126"/>
      <c r="J727" s="1126"/>
      <c r="K727" s="1126"/>
      <c r="L727" s="1126"/>
      <c r="M727" s="1126"/>
      <c r="N727" s="1126"/>
      <c r="O727" s="1126"/>
      <c r="P727" s="1126"/>
      <c r="Q727" s="1126"/>
      <c r="R727" s="1126"/>
      <c r="S727" s="1126"/>
      <c r="T727" s="1126"/>
      <c r="U727" s="1126"/>
      <c r="V727" s="1126"/>
      <c r="W727" s="1126"/>
      <c r="X727" s="1126"/>
      <c r="Y727" s="1126"/>
      <c r="Z727" s="1126"/>
      <c r="AA727" s="1126"/>
      <c r="AB727" s="1126"/>
    </row>
    <row r="728" ht="15.75" customHeight="1">
      <c r="B728" s="1126"/>
      <c r="C728" s="1126"/>
      <c r="D728" s="1126"/>
      <c r="E728" s="1126"/>
      <c r="F728" s="1126"/>
      <c r="G728" s="1126"/>
      <c r="H728" s="1126"/>
      <c r="I728" s="1126"/>
      <c r="J728" s="1126"/>
      <c r="K728" s="1126"/>
      <c r="L728" s="1126"/>
      <c r="M728" s="1126"/>
      <c r="N728" s="1126"/>
      <c r="O728" s="1126"/>
      <c r="P728" s="1126"/>
      <c r="Q728" s="1126"/>
      <c r="R728" s="1126"/>
      <c r="S728" s="1126"/>
      <c r="T728" s="1126"/>
      <c r="U728" s="1126"/>
      <c r="V728" s="1126"/>
      <c r="W728" s="1126"/>
      <c r="X728" s="1126"/>
      <c r="Y728" s="1126"/>
      <c r="Z728" s="1126"/>
      <c r="AA728" s="1126"/>
      <c r="AB728" s="1126"/>
    </row>
    <row r="729" ht="15.75" customHeight="1">
      <c r="B729" s="1126"/>
      <c r="C729" s="1126"/>
      <c r="D729" s="1126"/>
      <c r="E729" s="1126"/>
      <c r="F729" s="1126"/>
      <c r="G729" s="1126"/>
      <c r="H729" s="1126"/>
      <c r="I729" s="1126"/>
      <c r="J729" s="1126"/>
      <c r="K729" s="1126"/>
      <c r="L729" s="1126"/>
      <c r="M729" s="1126"/>
      <c r="N729" s="1126"/>
      <c r="O729" s="1126"/>
      <c r="P729" s="1126"/>
      <c r="Q729" s="1126"/>
      <c r="R729" s="1126"/>
      <c r="S729" s="1126"/>
      <c r="T729" s="1126"/>
      <c r="U729" s="1126"/>
      <c r="V729" s="1126"/>
      <c r="W729" s="1126"/>
      <c r="X729" s="1126"/>
      <c r="Y729" s="1126"/>
      <c r="Z729" s="1126"/>
      <c r="AA729" s="1126"/>
      <c r="AB729" s="1126"/>
    </row>
    <row r="730" ht="15.75" customHeight="1">
      <c r="B730" s="1126"/>
      <c r="C730" s="1126"/>
      <c r="D730" s="1126"/>
      <c r="E730" s="1126"/>
      <c r="F730" s="1126"/>
      <c r="G730" s="1126"/>
      <c r="H730" s="1126"/>
      <c r="I730" s="1126"/>
      <c r="J730" s="1126"/>
      <c r="K730" s="1126"/>
      <c r="L730" s="1126"/>
      <c r="M730" s="1126"/>
      <c r="N730" s="1126"/>
      <c r="O730" s="1126"/>
      <c r="P730" s="1126"/>
      <c r="Q730" s="1126"/>
      <c r="R730" s="1126"/>
      <c r="S730" s="1126"/>
      <c r="T730" s="1126"/>
      <c r="U730" s="1126"/>
      <c r="V730" s="1126"/>
      <c r="W730" s="1126"/>
      <c r="X730" s="1126"/>
      <c r="Y730" s="1126"/>
      <c r="Z730" s="1126"/>
      <c r="AA730" s="1126"/>
      <c r="AB730" s="1126"/>
    </row>
    <row r="731" ht="15.75" customHeight="1">
      <c r="B731" s="1126"/>
      <c r="C731" s="1126"/>
      <c r="D731" s="1126"/>
      <c r="E731" s="1126"/>
      <c r="F731" s="1126"/>
      <c r="G731" s="1126"/>
      <c r="H731" s="1126"/>
      <c r="I731" s="1126"/>
      <c r="J731" s="1126"/>
      <c r="K731" s="1126"/>
      <c r="L731" s="1126"/>
      <c r="M731" s="1126"/>
      <c r="N731" s="1126"/>
      <c r="O731" s="1126"/>
      <c r="P731" s="1126"/>
      <c r="Q731" s="1126"/>
      <c r="R731" s="1126"/>
      <c r="S731" s="1126"/>
      <c r="T731" s="1126"/>
      <c r="U731" s="1126"/>
      <c r="V731" s="1126"/>
      <c r="W731" s="1126"/>
      <c r="X731" s="1126"/>
      <c r="Y731" s="1126"/>
      <c r="Z731" s="1126"/>
      <c r="AA731" s="1126"/>
      <c r="AB731" s="1126"/>
    </row>
    <row r="732" ht="15.75" customHeight="1">
      <c r="B732" s="1126"/>
      <c r="C732" s="1126"/>
      <c r="D732" s="1126"/>
      <c r="E732" s="1126"/>
      <c r="F732" s="1126"/>
      <c r="G732" s="1126"/>
      <c r="H732" s="1126"/>
      <c r="I732" s="1126"/>
      <c r="J732" s="1126"/>
      <c r="K732" s="1126"/>
      <c r="L732" s="1126"/>
      <c r="M732" s="1126"/>
      <c r="N732" s="1126"/>
      <c r="O732" s="1126"/>
      <c r="P732" s="1126"/>
      <c r="Q732" s="1126"/>
      <c r="R732" s="1126"/>
      <c r="S732" s="1126"/>
      <c r="T732" s="1126"/>
      <c r="U732" s="1126"/>
      <c r="V732" s="1126"/>
      <c r="W732" s="1126"/>
      <c r="X732" s="1126"/>
      <c r="Y732" s="1126"/>
      <c r="Z732" s="1126"/>
      <c r="AA732" s="1126"/>
      <c r="AB732" s="1126"/>
    </row>
    <row r="733" ht="15.75" customHeight="1">
      <c r="B733" s="1126"/>
      <c r="C733" s="1126"/>
      <c r="D733" s="1126"/>
      <c r="E733" s="1126"/>
      <c r="F733" s="1126"/>
      <c r="G733" s="1126"/>
      <c r="H733" s="1126"/>
      <c r="I733" s="1126"/>
      <c r="J733" s="1126"/>
      <c r="K733" s="1126"/>
      <c r="L733" s="1126"/>
      <c r="M733" s="1126"/>
      <c r="N733" s="1126"/>
      <c r="O733" s="1126"/>
      <c r="P733" s="1126"/>
      <c r="Q733" s="1126"/>
      <c r="R733" s="1126"/>
      <c r="S733" s="1126"/>
      <c r="T733" s="1126"/>
      <c r="U733" s="1126"/>
      <c r="V733" s="1126"/>
      <c r="W733" s="1126"/>
      <c r="X733" s="1126"/>
      <c r="Y733" s="1126"/>
      <c r="Z733" s="1126"/>
      <c r="AA733" s="1126"/>
      <c r="AB733" s="1126"/>
    </row>
    <row r="734" ht="15.75" customHeight="1">
      <c r="B734" s="1126"/>
      <c r="C734" s="1126"/>
      <c r="D734" s="1126"/>
      <c r="E734" s="1126"/>
      <c r="F734" s="1126"/>
      <c r="G734" s="1126"/>
      <c r="H734" s="1126"/>
      <c r="I734" s="1126"/>
      <c r="J734" s="1126"/>
      <c r="K734" s="1126"/>
      <c r="L734" s="1126"/>
      <c r="M734" s="1126"/>
      <c r="N734" s="1126"/>
      <c r="O734" s="1126"/>
      <c r="P734" s="1126"/>
      <c r="Q734" s="1126"/>
      <c r="R734" s="1126"/>
      <c r="S734" s="1126"/>
      <c r="T734" s="1126"/>
      <c r="U734" s="1126"/>
      <c r="V734" s="1126"/>
      <c r="W734" s="1126"/>
      <c r="X734" s="1126"/>
      <c r="Y734" s="1126"/>
      <c r="Z734" s="1126"/>
      <c r="AA734" s="1126"/>
      <c r="AB734" s="1126"/>
    </row>
    <row r="735" ht="15.75" customHeight="1">
      <c r="B735" s="1126"/>
      <c r="C735" s="1126"/>
      <c r="D735" s="1126"/>
      <c r="E735" s="1126"/>
      <c r="F735" s="1126"/>
      <c r="G735" s="1126"/>
      <c r="H735" s="1126"/>
      <c r="I735" s="1126"/>
      <c r="J735" s="1126"/>
      <c r="K735" s="1126"/>
      <c r="L735" s="1126"/>
      <c r="M735" s="1126"/>
      <c r="N735" s="1126"/>
      <c r="O735" s="1126"/>
      <c r="P735" s="1126"/>
      <c r="Q735" s="1126"/>
      <c r="R735" s="1126"/>
      <c r="S735" s="1126"/>
      <c r="T735" s="1126"/>
      <c r="U735" s="1126"/>
      <c r="V735" s="1126"/>
      <c r="W735" s="1126"/>
      <c r="X735" s="1126"/>
      <c r="Y735" s="1126"/>
      <c r="Z735" s="1126"/>
      <c r="AA735" s="1126"/>
      <c r="AB735" s="1126"/>
    </row>
    <row r="736" ht="15.75" customHeight="1">
      <c r="B736" s="1126"/>
      <c r="C736" s="1126"/>
      <c r="D736" s="1126"/>
      <c r="E736" s="1126"/>
      <c r="F736" s="1126"/>
      <c r="G736" s="1126"/>
      <c r="H736" s="1126"/>
      <c r="I736" s="1126"/>
      <c r="J736" s="1126"/>
      <c r="K736" s="1126"/>
      <c r="L736" s="1126"/>
      <c r="M736" s="1126"/>
      <c r="N736" s="1126"/>
      <c r="O736" s="1126"/>
      <c r="P736" s="1126"/>
      <c r="Q736" s="1126"/>
      <c r="R736" s="1126"/>
      <c r="S736" s="1126"/>
      <c r="T736" s="1126"/>
      <c r="U736" s="1126"/>
      <c r="V736" s="1126"/>
      <c r="W736" s="1126"/>
      <c r="X736" s="1126"/>
      <c r="Y736" s="1126"/>
      <c r="Z736" s="1126"/>
      <c r="AA736" s="1126"/>
      <c r="AB736" s="1126"/>
    </row>
    <row r="737" ht="15.75" customHeight="1">
      <c r="B737" s="1126"/>
      <c r="C737" s="1126"/>
      <c r="D737" s="1126"/>
      <c r="E737" s="1126"/>
      <c r="F737" s="1126"/>
      <c r="G737" s="1126"/>
      <c r="H737" s="1126"/>
      <c r="I737" s="1126"/>
      <c r="J737" s="1126"/>
      <c r="K737" s="1126"/>
      <c r="L737" s="1126"/>
      <c r="M737" s="1126"/>
      <c r="N737" s="1126"/>
      <c r="O737" s="1126"/>
      <c r="P737" s="1126"/>
      <c r="Q737" s="1126"/>
      <c r="R737" s="1126"/>
      <c r="S737" s="1126"/>
      <c r="T737" s="1126"/>
      <c r="U737" s="1126"/>
      <c r="V737" s="1126"/>
      <c r="W737" s="1126"/>
      <c r="X737" s="1126"/>
      <c r="Y737" s="1126"/>
      <c r="Z737" s="1126"/>
      <c r="AA737" s="1126"/>
      <c r="AB737" s="1126"/>
    </row>
    <row r="738" ht="15.75" customHeight="1">
      <c r="B738" s="1126"/>
      <c r="C738" s="1126"/>
      <c r="D738" s="1126"/>
      <c r="E738" s="1126"/>
      <c r="F738" s="1126"/>
      <c r="G738" s="1126"/>
      <c r="H738" s="1126"/>
      <c r="I738" s="1126"/>
      <c r="J738" s="1126"/>
      <c r="K738" s="1126"/>
      <c r="L738" s="1126"/>
      <c r="M738" s="1126"/>
      <c r="N738" s="1126"/>
      <c r="O738" s="1126"/>
      <c r="P738" s="1126"/>
      <c r="Q738" s="1126"/>
      <c r="R738" s="1126"/>
      <c r="S738" s="1126"/>
      <c r="T738" s="1126"/>
      <c r="U738" s="1126"/>
      <c r="V738" s="1126"/>
      <c r="W738" s="1126"/>
      <c r="X738" s="1126"/>
      <c r="Y738" s="1126"/>
      <c r="Z738" s="1126"/>
      <c r="AA738" s="1126"/>
      <c r="AB738" s="1126"/>
    </row>
    <row r="739" ht="15.75" customHeight="1">
      <c r="B739" s="1126"/>
      <c r="C739" s="1126"/>
      <c r="D739" s="1126"/>
      <c r="E739" s="1126"/>
      <c r="F739" s="1126"/>
      <c r="G739" s="1126"/>
      <c r="H739" s="1126"/>
      <c r="I739" s="1126"/>
      <c r="J739" s="1126"/>
      <c r="K739" s="1126"/>
      <c r="L739" s="1126"/>
      <c r="M739" s="1126"/>
      <c r="N739" s="1126"/>
      <c r="O739" s="1126"/>
      <c r="P739" s="1126"/>
      <c r="Q739" s="1126"/>
      <c r="R739" s="1126"/>
      <c r="S739" s="1126"/>
      <c r="T739" s="1126"/>
      <c r="U739" s="1126"/>
      <c r="V739" s="1126"/>
      <c r="W739" s="1126"/>
      <c r="X739" s="1126"/>
      <c r="Y739" s="1126"/>
      <c r="Z739" s="1126"/>
      <c r="AA739" s="1126"/>
      <c r="AB739" s="1126"/>
    </row>
    <row r="740" ht="15.75" customHeight="1">
      <c r="B740" s="1126"/>
      <c r="C740" s="1126"/>
      <c r="D740" s="1126"/>
      <c r="E740" s="1126"/>
      <c r="F740" s="1126"/>
      <c r="G740" s="1126"/>
      <c r="H740" s="1126"/>
      <c r="I740" s="1126"/>
      <c r="J740" s="1126"/>
      <c r="K740" s="1126"/>
      <c r="L740" s="1126"/>
      <c r="M740" s="1126"/>
      <c r="N740" s="1126"/>
      <c r="O740" s="1126"/>
      <c r="P740" s="1126"/>
      <c r="Q740" s="1126"/>
      <c r="R740" s="1126"/>
      <c r="S740" s="1126"/>
      <c r="T740" s="1126"/>
      <c r="U740" s="1126"/>
      <c r="V740" s="1126"/>
      <c r="W740" s="1126"/>
      <c r="X740" s="1126"/>
      <c r="Y740" s="1126"/>
      <c r="Z740" s="1126"/>
      <c r="AA740" s="1126"/>
      <c r="AB740" s="1126"/>
    </row>
    <row r="741" ht="15.75" customHeight="1">
      <c r="B741" s="1126"/>
      <c r="C741" s="1126"/>
      <c r="D741" s="1126"/>
      <c r="E741" s="1126"/>
      <c r="F741" s="1126"/>
      <c r="G741" s="1126"/>
      <c r="H741" s="1126"/>
      <c r="I741" s="1126"/>
      <c r="J741" s="1126"/>
      <c r="K741" s="1126"/>
      <c r="L741" s="1126"/>
      <c r="M741" s="1126"/>
      <c r="N741" s="1126"/>
      <c r="O741" s="1126"/>
      <c r="P741" s="1126"/>
      <c r="Q741" s="1126"/>
      <c r="R741" s="1126"/>
      <c r="S741" s="1126"/>
      <c r="T741" s="1126"/>
      <c r="U741" s="1126"/>
      <c r="V741" s="1126"/>
      <c r="W741" s="1126"/>
      <c r="X741" s="1126"/>
      <c r="Y741" s="1126"/>
      <c r="Z741" s="1126"/>
      <c r="AA741" s="1126"/>
      <c r="AB741" s="1126"/>
    </row>
    <row r="742" ht="15.75" customHeight="1">
      <c r="B742" s="1126"/>
      <c r="C742" s="1126"/>
      <c r="D742" s="1126"/>
      <c r="E742" s="1126"/>
      <c r="F742" s="1126"/>
      <c r="G742" s="1126"/>
      <c r="H742" s="1126"/>
      <c r="I742" s="1126"/>
      <c r="J742" s="1126"/>
      <c r="K742" s="1126"/>
      <c r="L742" s="1126"/>
      <c r="M742" s="1126"/>
      <c r="N742" s="1126"/>
      <c r="O742" s="1126"/>
      <c r="P742" s="1126"/>
      <c r="Q742" s="1126"/>
      <c r="R742" s="1126"/>
      <c r="S742" s="1126"/>
      <c r="T742" s="1126"/>
      <c r="U742" s="1126"/>
      <c r="V742" s="1126"/>
      <c r="W742" s="1126"/>
      <c r="X742" s="1126"/>
      <c r="Y742" s="1126"/>
      <c r="Z742" s="1126"/>
      <c r="AA742" s="1126"/>
      <c r="AB742" s="1126"/>
    </row>
    <row r="743" ht="15.75" customHeight="1">
      <c r="B743" s="1126"/>
      <c r="C743" s="1126"/>
      <c r="D743" s="1126"/>
      <c r="E743" s="1126"/>
      <c r="F743" s="1126"/>
      <c r="G743" s="1126"/>
      <c r="H743" s="1126"/>
      <c r="I743" s="1126"/>
      <c r="J743" s="1126"/>
      <c r="K743" s="1126"/>
      <c r="L743" s="1126"/>
      <c r="M743" s="1126"/>
      <c r="N743" s="1126"/>
      <c r="O743" s="1126"/>
      <c r="P743" s="1126"/>
      <c r="Q743" s="1126"/>
      <c r="R743" s="1126"/>
      <c r="S743" s="1126"/>
      <c r="T743" s="1126"/>
      <c r="U743" s="1126"/>
      <c r="V743" s="1126"/>
      <c r="W743" s="1126"/>
      <c r="X743" s="1126"/>
      <c r="Y743" s="1126"/>
      <c r="Z743" s="1126"/>
      <c r="AA743" s="1126"/>
      <c r="AB743" s="1126"/>
    </row>
    <row r="744" ht="15.75" customHeight="1">
      <c r="B744" s="1126"/>
      <c r="C744" s="1126"/>
      <c r="D744" s="1126"/>
      <c r="E744" s="1126"/>
      <c r="F744" s="1126"/>
      <c r="G744" s="1126"/>
      <c r="H744" s="1126"/>
      <c r="I744" s="1126"/>
      <c r="J744" s="1126"/>
      <c r="K744" s="1126"/>
      <c r="L744" s="1126"/>
      <c r="M744" s="1126"/>
      <c r="N744" s="1126"/>
      <c r="O744" s="1126"/>
      <c r="P744" s="1126"/>
      <c r="Q744" s="1126"/>
      <c r="R744" s="1126"/>
      <c r="S744" s="1126"/>
      <c r="T744" s="1126"/>
      <c r="U744" s="1126"/>
      <c r="V744" s="1126"/>
      <c r="W744" s="1126"/>
      <c r="X744" s="1126"/>
      <c r="Y744" s="1126"/>
      <c r="Z744" s="1126"/>
      <c r="AA744" s="1126"/>
      <c r="AB744" s="1126"/>
    </row>
    <row r="745" ht="15.75" customHeight="1">
      <c r="B745" s="1126"/>
      <c r="C745" s="1126"/>
      <c r="D745" s="1126"/>
      <c r="E745" s="1126"/>
      <c r="F745" s="1126"/>
      <c r="G745" s="1126"/>
      <c r="H745" s="1126"/>
      <c r="I745" s="1126"/>
      <c r="J745" s="1126"/>
      <c r="K745" s="1126"/>
      <c r="L745" s="1126"/>
      <c r="M745" s="1126"/>
      <c r="N745" s="1126"/>
      <c r="O745" s="1126"/>
      <c r="P745" s="1126"/>
      <c r="Q745" s="1126"/>
      <c r="R745" s="1126"/>
      <c r="S745" s="1126"/>
      <c r="T745" s="1126"/>
      <c r="U745" s="1126"/>
      <c r="V745" s="1126"/>
      <c r="W745" s="1126"/>
      <c r="X745" s="1126"/>
      <c r="Y745" s="1126"/>
      <c r="Z745" s="1126"/>
      <c r="AA745" s="1126"/>
      <c r="AB745" s="1126"/>
    </row>
    <row r="746" ht="15.75" customHeight="1">
      <c r="B746" s="1126"/>
      <c r="C746" s="1126"/>
      <c r="D746" s="1126"/>
      <c r="E746" s="1126"/>
      <c r="F746" s="1126"/>
      <c r="G746" s="1126"/>
      <c r="H746" s="1126"/>
      <c r="I746" s="1126"/>
      <c r="J746" s="1126"/>
      <c r="K746" s="1126"/>
      <c r="L746" s="1126"/>
      <c r="M746" s="1126"/>
      <c r="N746" s="1126"/>
      <c r="O746" s="1126"/>
      <c r="P746" s="1126"/>
      <c r="Q746" s="1126"/>
      <c r="R746" s="1126"/>
      <c r="S746" s="1126"/>
      <c r="T746" s="1126"/>
      <c r="U746" s="1126"/>
      <c r="V746" s="1126"/>
      <c r="W746" s="1126"/>
      <c r="X746" s="1126"/>
      <c r="Y746" s="1126"/>
      <c r="Z746" s="1126"/>
      <c r="AA746" s="1126"/>
      <c r="AB746" s="1126"/>
    </row>
    <row r="747" ht="15.75" customHeight="1">
      <c r="B747" s="1126"/>
      <c r="C747" s="1126"/>
      <c r="D747" s="1126"/>
      <c r="E747" s="1126"/>
      <c r="F747" s="1126"/>
      <c r="G747" s="1126"/>
      <c r="H747" s="1126"/>
      <c r="I747" s="1126"/>
      <c r="J747" s="1126"/>
      <c r="K747" s="1126"/>
      <c r="L747" s="1126"/>
      <c r="M747" s="1126"/>
      <c r="N747" s="1126"/>
      <c r="O747" s="1126"/>
      <c r="P747" s="1126"/>
      <c r="Q747" s="1126"/>
      <c r="R747" s="1126"/>
      <c r="S747" s="1126"/>
      <c r="T747" s="1126"/>
      <c r="U747" s="1126"/>
      <c r="V747" s="1126"/>
      <c r="W747" s="1126"/>
      <c r="X747" s="1126"/>
      <c r="Y747" s="1126"/>
      <c r="Z747" s="1126"/>
      <c r="AA747" s="1126"/>
      <c r="AB747" s="1126"/>
    </row>
    <row r="748" ht="15.75" customHeight="1">
      <c r="B748" s="1126"/>
      <c r="C748" s="1126"/>
      <c r="D748" s="1126"/>
      <c r="E748" s="1126"/>
      <c r="F748" s="1126"/>
      <c r="G748" s="1126"/>
      <c r="H748" s="1126"/>
      <c r="I748" s="1126"/>
      <c r="J748" s="1126"/>
      <c r="K748" s="1126"/>
      <c r="L748" s="1126"/>
      <c r="M748" s="1126"/>
      <c r="N748" s="1126"/>
      <c r="O748" s="1126"/>
      <c r="P748" s="1126"/>
      <c r="Q748" s="1126"/>
      <c r="R748" s="1126"/>
      <c r="S748" s="1126"/>
      <c r="T748" s="1126"/>
      <c r="U748" s="1126"/>
      <c r="V748" s="1126"/>
      <c r="W748" s="1126"/>
      <c r="X748" s="1126"/>
      <c r="Y748" s="1126"/>
      <c r="Z748" s="1126"/>
      <c r="AA748" s="1126"/>
      <c r="AB748" s="1126"/>
    </row>
    <row r="749" ht="15.75" customHeight="1">
      <c r="B749" s="1126"/>
      <c r="C749" s="1126"/>
      <c r="D749" s="1126"/>
      <c r="E749" s="1126"/>
      <c r="F749" s="1126"/>
      <c r="G749" s="1126"/>
      <c r="H749" s="1126"/>
      <c r="I749" s="1126"/>
      <c r="J749" s="1126"/>
      <c r="K749" s="1126"/>
      <c r="L749" s="1126"/>
      <c r="M749" s="1126"/>
      <c r="N749" s="1126"/>
      <c r="O749" s="1126"/>
      <c r="P749" s="1126"/>
      <c r="Q749" s="1126"/>
      <c r="R749" s="1126"/>
      <c r="S749" s="1126"/>
      <c r="T749" s="1126"/>
      <c r="U749" s="1126"/>
      <c r="V749" s="1126"/>
      <c r="W749" s="1126"/>
      <c r="X749" s="1126"/>
      <c r="Y749" s="1126"/>
      <c r="Z749" s="1126"/>
      <c r="AA749" s="1126"/>
      <c r="AB749" s="1126"/>
    </row>
    <row r="750" ht="15.75" customHeight="1">
      <c r="B750" s="1126"/>
      <c r="C750" s="1126"/>
      <c r="D750" s="1126"/>
      <c r="E750" s="1126"/>
      <c r="F750" s="1126"/>
      <c r="G750" s="1126"/>
      <c r="H750" s="1126"/>
      <c r="I750" s="1126"/>
      <c r="J750" s="1126"/>
      <c r="K750" s="1126"/>
      <c r="L750" s="1126"/>
      <c r="M750" s="1126"/>
      <c r="N750" s="1126"/>
      <c r="O750" s="1126"/>
      <c r="P750" s="1126"/>
      <c r="Q750" s="1126"/>
      <c r="R750" s="1126"/>
      <c r="S750" s="1126"/>
      <c r="T750" s="1126"/>
      <c r="U750" s="1126"/>
      <c r="V750" s="1126"/>
      <c r="W750" s="1126"/>
      <c r="X750" s="1126"/>
      <c r="Y750" s="1126"/>
      <c r="Z750" s="1126"/>
      <c r="AA750" s="1126"/>
      <c r="AB750" s="1126"/>
    </row>
    <row r="751" ht="15.75" customHeight="1">
      <c r="B751" s="1126"/>
      <c r="C751" s="1126"/>
      <c r="D751" s="1126"/>
      <c r="E751" s="1126"/>
      <c r="F751" s="1126"/>
      <c r="G751" s="1126"/>
      <c r="H751" s="1126"/>
      <c r="I751" s="1126"/>
      <c r="J751" s="1126"/>
      <c r="K751" s="1126"/>
      <c r="L751" s="1126"/>
      <c r="M751" s="1126"/>
      <c r="N751" s="1126"/>
      <c r="O751" s="1126"/>
      <c r="P751" s="1126"/>
      <c r="Q751" s="1126"/>
      <c r="R751" s="1126"/>
      <c r="S751" s="1126"/>
      <c r="T751" s="1126"/>
      <c r="U751" s="1126"/>
      <c r="V751" s="1126"/>
      <c r="W751" s="1126"/>
      <c r="X751" s="1126"/>
      <c r="Y751" s="1126"/>
      <c r="Z751" s="1126"/>
      <c r="AA751" s="1126"/>
      <c r="AB751" s="1126"/>
    </row>
    <row r="752" ht="15.75" customHeight="1">
      <c r="B752" s="1126"/>
      <c r="C752" s="1126"/>
      <c r="D752" s="1126"/>
      <c r="E752" s="1126"/>
      <c r="F752" s="1126"/>
      <c r="G752" s="1126"/>
      <c r="H752" s="1126"/>
      <c r="I752" s="1126"/>
      <c r="J752" s="1126"/>
      <c r="K752" s="1126"/>
      <c r="L752" s="1126"/>
      <c r="M752" s="1126"/>
      <c r="N752" s="1126"/>
      <c r="O752" s="1126"/>
      <c r="P752" s="1126"/>
      <c r="Q752" s="1126"/>
      <c r="R752" s="1126"/>
      <c r="S752" s="1126"/>
      <c r="T752" s="1126"/>
      <c r="U752" s="1126"/>
      <c r="V752" s="1126"/>
      <c r="W752" s="1126"/>
      <c r="X752" s="1126"/>
      <c r="Y752" s="1126"/>
      <c r="Z752" s="1126"/>
      <c r="AA752" s="1126"/>
      <c r="AB752" s="1126"/>
    </row>
    <row r="753" ht="15.75" customHeight="1">
      <c r="B753" s="1126"/>
      <c r="C753" s="1126"/>
      <c r="D753" s="1126"/>
      <c r="E753" s="1126"/>
      <c r="F753" s="1126"/>
      <c r="G753" s="1126"/>
      <c r="H753" s="1126"/>
      <c r="I753" s="1126"/>
      <c r="J753" s="1126"/>
      <c r="K753" s="1126"/>
      <c r="L753" s="1126"/>
      <c r="M753" s="1126"/>
      <c r="N753" s="1126"/>
      <c r="O753" s="1126"/>
      <c r="P753" s="1126"/>
      <c r="Q753" s="1126"/>
      <c r="R753" s="1126"/>
      <c r="S753" s="1126"/>
      <c r="T753" s="1126"/>
      <c r="U753" s="1126"/>
      <c r="V753" s="1126"/>
      <c r="W753" s="1126"/>
      <c r="X753" s="1126"/>
      <c r="Y753" s="1126"/>
      <c r="Z753" s="1126"/>
      <c r="AA753" s="1126"/>
      <c r="AB753" s="1126"/>
    </row>
    <row r="754" ht="15.75" customHeight="1">
      <c r="B754" s="1126"/>
      <c r="C754" s="1126"/>
      <c r="D754" s="1126"/>
      <c r="E754" s="1126"/>
      <c r="F754" s="1126"/>
      <c r="G754" s="1126"/>
      <c r="H754" s="1126"/>
      <c r="I754" s="1126"/>
      <c r="J754" s="1126"/>
      <c r="K754" s="1126"/>
      <c r="L754" s="1126"/>
      <c r="M754" s="1126"/>
      <c r="N754" s="1126"/>
      <c r="O754" s="1126"/>
      <c r="P754" s="1126"/>
      <c r="Q754" s="1126"/>
      <c r="R754" s="1126"/>
      <c r="S754" s="1126"/>
      <c r="T754" s="1126"/>
      <c r="U754" s="1126"/>
      <c r="V754" s="1126"/>
      <c r="W754" s="1126"/>
      <c r="X754" s="1126"/>
      <c r="Y754" s="1126"/>
      <c r="Z754" s="1126"/>
      <c r="AA754" s="1126"/>
      <c r="AB754" s="1126"/>
    </row>
    <row r="755" ht="15.75" customHeight="1">
      <c r="B755" s="1126"/>
      <c r="C755" s="1126"/>
      <c r="D755" s="1126"/>
      <c r="E755" s="1126"/>
      <c r="F755" s="1126"/>
      <c r="G755" s="1126"/>
      <c r="H755" s="1126"/>
      <c r="I755" s="1126"/>
      <c r="J755" s="1126"/>
      <c r="K755" s="1126"/>
      <c r="L755" s="1126"/>
      <c r="M755" s="1126"/>
      <c r="N755" s="1126"/>
      <c r="O755" s="1126"/>
      <c r="P755" s="1126"/>
      <c r="Q755" s="1126"/>
      <c r="R755" s="1126"/>
      <c r="S755" s="1126"/>
      <c r="T755" s="1126"/>
      <c r="U755" s="1126"/>
      <c r="V755" s="1126"/>
      <c r="W755" s="1126"/>
      <c r="X755" s="1126"/>
      <c r="Y755" s="1126"/>
      <c r="Z755" s="1126"/>
      <c r="AA755" s="1126"/>
      <c r="AB755" s="1126"/>
    </row>
    <row r="756" ht="15.75" customHeight="1">
      <c r="B756" s="1126"/>
      <c r="C756" s="1126"/>
      <c r="D756" s="1126"/>
      <c r="E756" s="1126"/>
      <c r="F756" s="1126"/>
      <c r="G756" s="1126"/>
      <c r="H756" s="1126"/>
      <c r="I756" s="1126"/>
      <c r="J756" s="1126"/>
      <c r="K756" s="1126"/>
      <c r="L756" s="1126"/>
      <c r="M756" s="1126"/>
      <c r="N756" s="1126"/>
      <c r="O756" s="1126"/>
      <c r="P756" s="1126"/>
      <c r="Q756" s="1126"/>
      <c r="R756" s="1126"/>
      <c r="S756" s="1126"/>
      <c r="T756" s="1126"/>
      <c r="U756" s="1126"/>
      <c r="V756" s="1126"/>
      <c r="W756" s="1126"/>
      <c r="X756" s="1126"/>
      <c r="Y756" s="1126"/>
      <c r="Z756" s="1126"/>
      <c r="AA756" s="1126"/>
      <c r="AB756" s="1126"/>
    </row>
    <row r="757" ht="15.75" customHeight="1">
      <c r="B757" s="1126"/>
      <c r="C757" s="1126"/>
      <c r="D757" s="1126"/>
      <c r="E757" s="1126"/>
      <c r="F757" s="1126"/>
      <c r="G757" s="1126"/>
      <c r="H757" s="1126"/>
      <c r="I757" s="1126"/>
      <c r="J757" s="1126"/>
      <c r="K757" s="1126"/>
      <c r="L757" s="1126"/>
      <c r="M757" s="1126"/>
      <c r="N757" s="1126"/>
      <c r="O757" s="1126"/>
      <c r="P757" s="1126"/>
      <c r="Q757" s="1126"/>
      <c r="R757" s="1126"/>
      <c r="S757" s="1126"/>
      <c r="T757" s="1126"/>
      <c r="U757" s="1126"/>
      <c r="V757" s="1126"/>
      <c r="W757" s="1126"/>
      <c r="X757" s="1126"/>
      <c r="Y757" s="1126"/>
      <c r="Z757" s="1126"/>
      <c r="AA757" s="1126"/>
      <c r="AB757" s="1126"/>
    </row>
    <row r="758" ht="15.75" customHeight="1">
      <c r="B758" s="1126"/>
      <c r="C758" s="1126"/>
      <c r="D758" s="1126"/>
      <c r="E758" s="1126"/>
      <c r="F758" s="1126"/>
      <c r="G758" s="1126"/>
      <c r="H758" s="1126"/>
      <c r="I758" s="1126"/>
      <c r="J758" s="1126"/>
      <c r="K758" s="1126"/>
      <c r="L758" s="1126"/>
      <c r="M758" s="1126"/>
      <c r="N758" s="1126"/>
      <c r="O758" s="1126"/>
      <c r="P758" s="1126"/>
      <c r="Q758" s="1126"/>
      <c r="R758" s="1126"/>
      <c r="S758" s="1126"/>
      <c r="T758" s="1126"/>
      <c r="U758" s="1126"/>
      <c r="V758" s="1126"/>
      <c r="W758" s="1126"/>
      <c r="X758" s="1126"/>
      <c r="Y758" s="1126"/>
      <c r="Z758" s="1126"/>
      <c r="AA758" s="1126"/>
      <c r="AB758" s="1126"/>
    </row>
    <row r="759" ht="15.75" customHeight="1">
      <c r="B759" s="1126"/>
      <c r="C759" s="1126"/>
      <c r="D759" s="1126"/>
      <c r="E759" s="1126"/>
      <c r="F759" s="1126"/>
      <c r="G759" s="1126"/>
      <c r="H759" s="1126"/>
      <c r="I759" s="1126"/>
      <c r="J759" s="1126"/>
      <c r="K759" s="1126"/>
      <c r="L759" s="1126"/>
      <c r="M759" s="1126"/>
      <c r="N759" s="1126"/>
      <c r="O759" s="1126"/>
      <c r="P759" s="1126"/>
      <c r="Q759" s="1126"/>
      <c r="R759" s="1126"/>
      <c r="S759" s="1126"/>
      <c r="T759" s="1126"/>
      <c r="U759" s="1126"/>
      <c r="V759" s="1126"/>
      <c r="W759" s="1126"/>
      <c r="X759" s="1126"/>
      <c r="Y759" s="1126"/>
      <c r="Z759" s="1126"/>
      <c r="AA759" s="1126"/>
      <c r="AB759" s="1126"/>
    </row>
    <row r="760" ht="15.75" customHeight="1">
      <c r="B760" s="1126"/>
      <c r="C760" s="1126"/>
      <c r="D760" s="1126"/>
      <c r="E760" s="1126"/>
      <c r="F760" s="1126"/>
      <c r="G760" s="1126"/>
      <c r="H760" s="1126"/>
      <c r="I760" s="1126"/>
      <c r="J760" s="1126"/>
      <c r="K760" s="1126"/>
      <c r="L760" s="1126"/>
      <c r="M760" s="1126"/>
      <c r="N760" s="1126"/>
      <c r="O760" s="1126"/>
      <c r="P760" s="1126"/>
      <c r="Q760" s="1126"/>
      <c r="R760" s="1126"/>
      <c r="S760" s="1126"/>
      <c r="T760" s="1126"/>
      <c r="U760" s="1126"/>
      <c r="V760" s="1126"/>
      <c r="W760" s="1126"/>
      <c r="X760" s="1126"/>
      <c r="Y760" s="1126"/>
      <c r="Z760" s="1126"/>
      <c r="AA760" s="1126"/>
      <c r="AB760" s="1126"/>
    </row>
    <row r="761" ht="15.75" customHeight="1">
      <c r="B761" s="1126"/>
      <c r="C761" s="1126"/>
      <c r="D761" s="1126"/>
      <c r="E761" s="1126"/>
      <c r="F761" s="1126"/>
      <c r="G761" s="1126"/>
      <c r="H761" s="1126"/>
      <c r="I761" s="1126"/>
      <c r="J761" s="1126"/>
      <c r="K761" s="1126"/>
      <c r="L761" s="1126"/>
      <c r="M761" s="1126"/>
      <c r="N761" s="1126"/>
      <c r="O761" s="1126"/>
      <c r="P761" s="1126"/>
      <c r="Q761" s="1126"/>
      <c r="R761" s="1126"/>
      <c r="S761" s="1126"/>
      <c r="T761" s="1126"/>
      <c r="U761" s="1126"/>
      <c r="V761" s="1126"/>
      <c r="W761" s="1126"/>
      <c r="X761" s="1126"/>
      <c r="Y761" s="1126"/>
      <c r="Z761" s="1126"/>
      <c r="AA761" s="1126"/>
      <c r="AB761" s="1126"/>
    </row>
    <row r="762" ht="15.75" customHeight="1">
      <c r="B762" s="1126"/>
      <c r="C762" s="1126"/>
      <c r="D762" s="1126"/>
      <c r="E762" s="1126"/>
      <c r="F762" s="1126"/>
      <c r="G762" s="1126"/>
      <c r="H762" s="1126"/>
      <c r="I762" s="1126"/>
      <c r="J762" s="1126"/>
      <c r="K762" s="1126"/>
      <c r="L762" s="1126"/>
      <c r="M762" s="1126"/>
      <c r="N762" s="1126"/>
      <c r="O762" s="1126"/>
      <c r="P762" s="1126"/>
      <c r="Q762" s="1126"/>
      <c r="R762" s="1126"/>
      <c r="S762" s="1126"/>
      <c r="T762" s="1126"/>
      <c r="U762" s="1126"/>
      <c r="V762" s="1126"/>
      <c r="W762" s="1126"/>
      <c r="X762" s="1126"/>
      <c r="Y762" s="1126"/>
      <c r="Z762" s="1126"/>
      <c r="AA762" s="1126"/>
      <c r="AB762" s="1126"/>
    </row>
    <row r="763" ht="15.75" customHeight="1">
      <c r="B763" s="1126"/>
      <c r="C763" s="1126"/>
      <c r="D763" s="1126"/>
      <c r="E763" s="1126"/>
      <c r="F763" s="1126"/>
      <c r="G763" s="1126"/>
      <c r="H763" s="1126"/>
      <c r="I763" s="1126"/>
      <c r="J763" s="1126"/>
      <c r="K763" s="1126"/>
      <c r="L763" s="1126"/>
      <c r="M763" s="1126"/>
      <c r="N763" s="1126"/>
      <c r="O763" s="1126"/>
      <c r="P763" s="1126"/>
      <c r="Q763" s="1126"/>
      <c r="R763" s="1126"/>
      <c r="S763" s="1126"/>
      <c r="T763" s="1126"/>
      <c r="U763" s="1126"/>
      <c r="V763" s="1126"/>
      <c r="W763" s="1126"/>
      <c r="X763" s="1126"/>
      <c r="Y763" s="1126"/>
      <c r="Z763" s="1126"/>
      <c r="AA763" s="1126"/>
      <c r="AB763" s="1126"/>
    </row>
    <row r="764" ht="15.75" customHeight="1">
      <c r="B764" s="1126"/>
      <c r="C764" s="1126"/>
      <c r="D764" s="1126"/>
      <c r="E764" s="1126"/>
      <c r="F764" s="1126"/>
      <c r="G764" s="1126"/>
      <c r="H764" s="1126"/>
      <c r="I764" s="1126"/>
      <c r="J764" s="1126"/>
      <c r="K764" s="1126"/>
      <c r="L764" s="1126"/>
      <c r="M764" s="1126"/>
      <c r="N764" s="1126"/>
      <c r="O764" s="1126"/>
      <c r="P764" s="1126"/>
      <c r="Q764" s="1126"/>
      <c r="R764" s="1126"/>
      <c r="S764" s="1126"/>
      <c r="T764" s="1126"/>
      <c r="U764" s="1126"/>
      <c r="V764" s="1126"/>
      <c r="W764" s="1126"/>
      <c r="X764" s="1126"/>
      <c r="Y764" s="1126"/>
      <c r="Z764" s="1126"/>
      <c r="AA764" s="1126"/>
      <c r="AB764" s="1126"/>
    </row>
    <row r="765" ht="15.75" customHeight="1">
      <c r="B765" s="1126"/>
      <c r="C765" s="1126"/>
      <c r="D765" s="1126"/>
      <c r="E765" s="1126"/>
      <c r="F765" s="1126"/>
      <c r="G765" s="1126"/>
      <c r="H765" s="1126"/>
      <c r="I765" s="1126"/>
      <c r="J765" s="1126"/>
      <c r="K765" s="1126"/>
      <c r="L765" s="1126"/>
      <c r="M765" s="1126"/>
      <c r="N765" s="1126"/>
      <c r="O765" s="1126"/>
      <c r="P765" s="1126"/>
      <c r="Q765" s="1126"/>
      <c r="R765" s="1126"/>
      <c r="S765" s="1126"/>
      <c r="T765" s="1126"/>
      <c r="U765" s="1126"/>
      <c r="V765" s="1126"/>
      <c r="W765" s="1126"/>
      <c r="X765" s="1126"/>
      <c r="Y765" s="1126"/>
      <c r="Z765" s="1126"/>
      <c r="AA765" s="1126"/>
      <c r="AB765" s="1126"/>
    </row>
    <row r="766" ht="15.75" customHeight="1">
      <c r="B766" s="1126"/>
      <c r="C766" s="1126"/>
      <c r="D766" s="1126"/>
      <c r="E766" s="1126"/>
      <c r="F766" s="1126"/>
      <c r="G766" s="1126"/>
      <c r="H766" s="1126"/>
      <c r="I766" s="1126"/>
      <c r="J766" s="1126"/>
      <c r="K766" s="1126"/>
      <c r="L766" s="1126"/>
      <c r="M766" s="1126"/>
      <c r="N766" s="1126"/>
      <c r="O766" s="1126"/>
      <c r="P766" s="1126"/>
      <c r="Q766" s="1126"/>
      <c r="R766" s="1126"/>
      <c r="S766" s="1126"/>
      <c r="T766" s="1126"/>
      <c r="U766" s="1126"/>
      <c r="V766" s="1126"/>
      <c r="W766" s="1126"/>
      <c r="X766" s="1126"/>
      <c r="Y766" s="1126"/>
      <c r="Z766" s="1126"/>
      <c r="AA766" s="1126"/>
      <c r="AB766" s="1126"/>
    </row>
    <row r="767" ht="15.75" customHeight="1">
      <c r="B767" s="1126"/>
      <c r="C767" s="1126"/>
      <c r="D767" s="1126"/>
      <c r="E767" s="1126"/>
      <c r="F767" s="1126"/>
      <c r="G767" s="1126"/>
      <c r="H767" s="1126"/>
      <c r="I767" s="1126"/>
      <c r="J767" s="1126"/>
      <c r="K767" s="1126"/>
      <c r="L767" s="1126"/>
      <c r="M767" s="1126"/>
      <c r="N767" s="1126"/>
      <c r="O767" s="1126"/>
      <c r="P767" s="1126"/>
      <c r="Q767" s="1126"/>
      <c r="R767" s="1126"/>
      <c r="S767" s="1126"/>
      <c r="T767" s="1126"/>
      <c r="U767" s="1126"/>
      <c r="V767" s="1126"/>
      <c r="W767" s="1126"/>
      <c r="X767" s="1126"/>
      <c r="Y767" s="1126"/>
      <c r="Z767" s="1126"/>
      <c r="AA767" s="1126"/>
      <c r="AB767" s="1126"/>
    </row>
    <row r="768" ht="15.75" customHeight="1">
      <c r="B768" s="1126"/>
      <c r="C768" s="1126"/>
      <c r="D768" s="1126"/>
      <c r="E768" s="1126"/>
      <c r="F768" s="1126"/>
      <c r="G768" s="1126"/>
      <c r="H768" s="1126"/>
      <c r="I768" s="1126"/>
      <c r="J768" s="1126"/>
      <c r="K768" s="1126"/>
      <c r="L768" s="1126"/>
      <c r="M768" s="1126"/>
      <c r="N768" s="1126"/>
      <c r="O768" s="1126"/>
      <c r="P768" s="1126"/>
      <c r="Q768" s="1126"/>
      <c r="R768" s="1126"/>
      <c r="S768" s="1126"/>
      <c r="T768" s="1126"/>
      <c r="U768" s="1126"/>
      <c r="V768" s="1126"/>
      <c r="W768" s="1126"/>
      <c r="X768" s="1126"/>
      <c r="Y768" s="1126"/>
      <c r="Z768" s="1126"/>
      <c r="AA768" s="1126"/>
      <c r="AB768" s="1126"/>
    </row>
    <row r="769" ht="15.75" customHeight="1">
      <c r="B769" s="1126"/>
      <c r="C769" s="1126"/>
      <c r="D769" s="1126"/>
      <c r="E769" s="1126"/>
      <c r="F769" s="1126"/>
      <c r="G769" s="1126"/>
      <c r="H769" s="1126"/>
      <c r="I769" s="1126"/>
      <c r="J769" s="1126"/>
      <c r="K769" s="1126"/>
      <c r="L769" s="1126"/>
      <c r="M769" s="1126"/>
      <c r="N769" s="1126"/>
      <c r="O769" s="1126"/>
      <c r="P769" s="1126"/>
      <c r="Q769" s="1126"/>
      <c r="R769" s="1126"/>
      <c r="S769" s="1126"/>
      <c r="T769" s="1126"/>
      <c r="U769" s="1126"/>
      <c r="V769" s="1126"/>
      <c r="W769" s="1126"/>
      <c r="X769" s="1126"/>
      <c r="Y769" s="1126"/>
      <c r="Z769" s="1126"/>
      <c r="AA769" s="1126"/>
      <c r="AB769" s="1126"/>
    </row>
    <row r="770" ht="15.75" customHeight="1">
      <c r="B770" s="1126"/>
      <c r="C770" s="1126"/>
      <c r="D770" s="1126"/>
      <c r="E770" s="1126"/>
      <c r="F770" s="1126"/>
      <c r="G770" s="1126"/>
      <c r="H770" s="1126"/>
      <c r="I770" s="1126"/>
      <c r="J770" s="1126"/>
      <c r="K770" s="1126"/>
      <c r="L770" s="1126"/>
      <c r="M770" s="1126"/>
      <c r="N770" s="1126"/>
      <c r="O770" s="1126"/>
      <c r="P770" s="1126"/>
      <c r="Q770" s="1126"/>
      <c r="R770" s="1126"/>
      <c r="S770" s="1126"/>
      <c r="T770" s="1126"/>
      <c r="U770" s="1126"/>
      <c r="V770" s="1126"/>
      <c r="W770" s="1126"/>
      <c r="X770" s="1126"/>
      <c r="Y770" s="1126"/>
      <c r="Z770" s="1126"/>
      <c r="AA770" s="1126"/>
      <c r="AB770" s="1126"/>
    </row>
    <row r="771" ht="15.75" customHeight="1">
      <c r="B771" s="1126"/>
      <c r="C771" s="1126"/>
      <c r="D771" s="1126"/>
      <c r="E771" s="1126"/>
      <c r="F771" s="1126"/>
      <c r="G771" s="1126"/>
      <c r="H771" s="1126"/>
      <c r="I771" s="1126"/>
      <c r="J771" s="1126"/>
      <c r="K771" s="1126"/>
      <c r="L771" s="1126"/>
      <c r="M771" s="1126"/>
      <c r="N771" s="1126"/>
      <c r="O771" s="1126"/>
      <c r="P771" s="1126"/>
      <c r="Q771" s="1126"/>
      <c r="R771" s="1126"/>
      <c r="S771" s="1126"/>
      <c r="T771" s="1126"/>
      <c r="U771" s="1126"/>
      <c r="V771" s="1126"/>
      <c r="W771" s="1126"/>
      <c r="X771" s="1126"/>
      <c r="Y771" s="1126"/>
      <c r="Z771" s="1126"/>
      <c r="AA771" s="1126"/>
      <c r="AB771" s="1126"/>
    </row>
    <row r="772" ht="15.75" customHeight="1">
      <c r="B772" s="1126"/>
      <c r="C772" s="1126"/>
      <c r="D772" s="1126"/>
      <c r="E772" s="1126"/>
      <c r="F772" s="1126"/>
      <c r="G772" s="1126"/>
      <c r="H772" s="1126"/>
      <c r="I772" s="1126"/>
      <c r="J772" s="1126"/>
      <c r="K772" s="1126"/>
      <c r="L772" s="1126"/>
      <c r="M772" s="1126"/>
      <c r="N772" s="1126"/>
      <c r="O772" s="1126"/>
      <c r="P772" s="1126"/>
      <c r="Q772" s="1126"/>
      <c r="R772" s="1126"/>
      <c r="S772" s="1126"/>
      <c r="T772" s="1126"/>
      <c r="U772" s="1126"/>
      <c r="V772" s="1126"/>
      <c r="W772" s="1126"/>
      <c r="X772" s="1126"/>
      <c r="Y772" s="1126"/>
      <c r="Z772" s="1126"/>
      <c r="AA772" s="1126"/>
      <c r="AB772" s="1126"/>
    </row>
    <row r="773" ht="15.75" customHeight="1">
      <c r="B773" s="1126"/>
      <c r="C773" s="1126"/>
      <c r="D773" s="1126"/>
      <c r="E773" s="1126"/>
      <c r="F773" s="1126"/>
      <c r="G773" s="1126"/>
      <c r="H773" s="1126"/>
      <c r="I773" s="1126"/>
      <c r="J773" s="1126"/>
      <c r="K773" s="1126"/>
      <c r="L773" s="1126"/>
      <c r="M773" s="1126"/>
      <c r="N773" s="1126"/>
      <c r="O773" s="1126"/>
      <c r="P773" s="1126"/>
      <c r="Q773" s="1126"/>
      <c r="R773" s="1126"/>
      <c r="S773" s="1126"/>
      <c r="T773" s="1126"/>
      <c r="U773" s="1126"/>
      <c r="V773" s="1126"/>
      <c r="W773" s="1126"/>
      <c r="X773" s="1126"/>
      <c r="Y773" s="1126"/>
      <c r="Z773" s="1126"/>
      <c r="AA773" s="1126"/>
      <c r="AB773" s="1126"/>
    </row>
    <row r="774" ht="15.75" customHeight="1">
      <c r="B774" s="1126"/>
      <c r="C774" s="1126"/>
      <c r="D774" s="1126"/>
      <c r="E774" s="1126"/>
      <c r="F774" s="1126"/>
      <c r="G774" s="1126"/>
      <c r="H774" s="1126"/>
      <c r="I774" s="1126"/>
      <c r="J774" s="1126"/>
      <c r="K774" s="1126"/>
      <c r="L774" s="1126"/>
      <c r="M774" s="1126"/>
      <c r="N774" s="1126"/>
      <c r="O774" s="1126"/>
      <c r="P774" s="1126"/>
      <c r="Q774" s="1126"/>
      <c r="R774" s="1126"/>
      <c r="S774" s="1126"/>
      <c r="T774" s="1126"/>
      <c r="U774" s="1126"/>
      <c r="V774" s="1126"/>
      <c r="W774" s="1126"/>
      <c r="X774" s="1126"/>
      <c r="Y774" s="1126"/>
      <c r="Z774" s="1126"/>
      <c r="AA774" s="1126"/>
      <c r="AB774" s="1126"/>
    </row>
    <row r="775" ht="15.75" customHeight="1">
      <c r="B775" s="1126"/>
      <c r="C775" s="1126"/>
      <c r="D775" s="1126"/>
      <c r="E775" s="1126"/>
      <c r="F775" s="1126"/>
      <c r="G775" s="1126"/>
      <c r="H775" s="1126"/>
      <c r="I775" s="1126"/>
      <c r="J775" s="1126"/>
      <c r="K775" s="1126"/>
      <c r="L775" s="1126"/>
      <c r="M775" s="1126"/>
      <c r="N775" s="1126"/>
      <c r="O775" s="1126"/>
      <c r="P775" s="1126"/>
      <c r="Q775" s="1126"/>
      <c r="R775" s="1126"/>
      <c r="S775" s="1126"/>
      <c r="T775" s="1126"/>
      <c r="U775" s="1126"/>
      <c r="V775" s="1126"/>
      <c r="W775" s="1126"/>
      <c r="X775" s="1126"/>
      <c r="Y775" s="1126"/>
      <c r="Z775" s="1126"/>
      <c r="AA775" s="1126"/>
      <c r="AB775" s="1126"/>
    </row>
    <row r="776" ht="15.75" customHeight="1">
      <c r="B776" s="1126"/>
      <c r="C776" s="1126"/>
      <c r="D776" s="1126"/>
      <c r="E776" s="1126"/>
      <c r="F776" s="1126"/>
      <c r="G776" s="1126"/>
      <c r="H776" s="1126"/>
      <c r="I776" s="1126"/>
      <c r="J776" s="1126"/>
      <c r="K776" s="1126"/>
      <c r="L776" s="1126"/>
      <c r="M776" s="1126"/>
      <c r="N776" s="1126"/>
      <c r="O776" s="1126"/>
      <c r="P776" s="1126"/>
      <c r="Q776" s="1126"/>
      <c r="R776" s="1126"/>
      <c r="S776" s="1126"/>
      <c r="T776" s="1126"/>
      <c r="U776" s="1126"/>
      <c r="V776" s="1126"/>
      <c r="W776" s="1126"/>
      <c r="X776" s="1126"/>
      <c r="Y776" s="1126"/>
      <c r="Z776" s="1126"/>
      <c r="AA776" s="1126"/>
      <c r="AB776" s="1126"/>
    </row>
    <row r="777" ht="15.75" customHeight="1">
      <c r="B777" s="1126"/>
      <c r="C777" s="1126"/>
      <c r="D777" s="1126"/>
      <c r="E777" s="1126"/>
      <c r="F777" s="1126"/>
      <c r="G777" s="1126"/>
      <c r="H777" s="1126"/>
      <c r="I777" s="1126"/>
      <c r="J777" s="1126"/>
      <c r="K777" s="1126"/>
      <c r="L777" s="1126"/>
      <c r="M777" s="1126"/>
      <c r="N777" s="1126"/>
      <c r="O777" s="1126"/>
      <c r="P777" s="1126"/>
      <c r="Q777" s="1126"/>
      <c r="R777" s="1126"/>
      <c r="S777" s="1126"/>
      <c r="T777" s="1126"/>
      <c r="U777" s="1126"/>
      <c r="V777" s="1126"/>
      <c r="W777" s="1126"/>
      <c r="X777" s="1126"/>
      <c r="Y777" s="1126"/>
      <c r="Z777" s="1126"/>
      <c r="AA777" s="1126"/>
      <c r="AB777" s="1126"/>
    </row>
    <row r="778" ht="15.75" customHeight="1">
      <c r="B778" s="1126"/>
      <c r="C778" s="1126"/>
      <c r="D778" s="1126"/>
      <c r="E778" s="1126"/>
      <c r="F778" s="1126"/>
      <c r="G778" s="1126"/>
      <c r="H778" s="1126"/>
      <c r="I778" s="1126"/>
      <c r="J778" s="1126"/>
      <c r="K778" s="1126"/>
      <c r="L778" s="1126"/>
      <c r="M778" s="1126"/>
      <c r="N778" s="1126"/>
      <c r="O778" s="1126"/>
      <c r="P778" s="1126"/>
      <c r="Q778" s="1126"/>
      <c r="R778" s="1126"/>
      <c r="S778" s="1126"/>
      <c r="T778" s="1126"/>
      <c r="U778" s="1126"/>
      <c r="V778" s="1126"/>
      <c r="W778" s="1126"/>
      <c r="X778" s="1126"/>
      <c r="Y778" s="1126"/>
      <c r="Z778" s="1126"/>
      <c r="AA778" s="1126"/>
      <c r="AB778" s="1126"/>
    </row>
    <row r="779" ht="15.75" customHeight="1">
      <c r="B779" s="1126"/>
      <c r="C779" s="1126"/>
      <c r="D779" s="1126"/>
      <c r="E779" s="1126"/>
      <c r="F779" s="1126"/>
      <c r="G779" s="1126"/>
      <c r="H779" s="1126"/>
      <c r="I779" s="1126"/>
      <c r="J779" s="1126"/>
      <c r="K779" s="1126"/>
      <c r="L779" s="1126"/>
      <c r="M779" s="1126"/>
      <c r="N779" s="1126"/>
      <c r="O779" s="1126"/>
      <c r="P779" s="1126"/>
      <c r="Q779" s="1126"/>
      <c r="R779" s="1126"/>
      <c r="S779" s="1126"/>
      <c r="T779" s="1126"/>
      <c r="U779" s="1126"/>
      <c r="V779" s="1126"/>
      <c r="W779" s="1126"/>
      <c r="X779" s="1126"/>
      <c r="Y779" s="1126"/>
      <c r="Z779" s="1126"/>
      <c r="AA779" s="1126"/>
      <c r="AB779" s="1126"/>
    </row>
    <row r="780" ht="15.75" customHeight="1">
      <c r="B780" s="1126"/>
      <c r="C780" s="1126"/>
      <c r="D780" s="1126"/>
      <c r="E780" s="1126"/>
      <c r="F780" s="1126"/>
      <c r="G780" s="1126"/>
      <c r="H780" s="1126"/>
      <c r="I780" s="1126"/>
      <c r="J780" s="1126"/>
      <c r="K780" s="1126"/>
      <c r="L780" s="1126"/>
      <c r="M780" s="1126"/>
      <c r="N780" s="1126"/>
      <c r="O780" s="1126"/>
      <c r="P780" s="1126"/>
      <c r="Q780" s="1126"/>
      <c r="R780" s="1126"/>
      <c r="S780" s="1126"/>
      <c r="T780" s="1126"/>
      <c r="U780" s="1126"/>
      <c r="V780" s="1126"/>
      <c r="W780" s="1126"/>
      <c r="X780" s="1126"/>
      <c r="Y780" s="1126"/>
      <c r="Z780" s="1126"/>
      <c r="AA780" s="1126"/>
      <c r="AB780" s="1126"/>
    </row>
    <row r="781" ht="15.75" customHeight="1">
      <c r="B781" s="1126"/>
      <c r="C781" s="1126"/>
      <c r="D781" s="1126"/>
      <c r="E781" s="1126"/>
      <c r="F781" s="1126"/>
      <c r="G781" s="1126"/>
      <c r="H781" s="1126"/>
      <c r="I781" s="1126"/>
      <c r="J781" s="1126"/>
      <c r="K781" s="1126"/>
      <c r="L781" s="1126"/>
      <c r="M781" s="1126"/>
      <c r="N781" s="1126"/>
      <c r="O781" s="1126"/>
      <c r="P781" s="1126"/>
      <c r="Q781" s="1126"/>
      <c r="R781" s="1126"/>
      <c r="S781" s="1126"/>
      <c r="T781" s="1126"/>
      <c r="U781" s="1126"/>
      <c r="V781" s="1126"/>
      <c r="W781" s="1126"/>
      <c r="X781" s="1126"/>
      <c r="Y781" s="1126"/>
      <c r="Z781" s="1126"/>
      <c r="AA781" s="1126"/>
      <c r="AB781" s="1126"/>
    </row>
    <row r="782" ht="15.75" customHeight="1">
      <c r="B782" s="1126"/>
      <c r="C782" s="1126"/>
      <c r="D782" s="1126"/>
      <c r="E782" s="1126"/>
      <c r="F782" s="1126"/>
      <c r="G782" s="1126"/>
      <c r="H782" s="1126"/>
      <c r="I782" s="1126"/>
      <c r="J782" s="1126"/>
      <c r="K782" s="1126"/>
      <c r="L782" s="1126"/>
      <c r="M782" s="1126"/>
      <c r="N782" s="1126"/>
      <c r="O782" s="1126"/>
      <c r="P782" s="1126"/>
      <c r="Q782" s="1126"/>
      <c r="R782" s="1126"/>
      <c r="S782" s="1126"/>
      <c r="T782" s="1126"/>
      <c r="U782" s="1126"/>
      <c r="V782" s="1126"/>
      <c r="W782" s="1126"/>
      <c r="X782" s="1126"/>
      <c r="Y782" s="1126"/>
      <c r="Z782" s="1126"/>
      <c r="AA782" s="1126"/>
      <c r="AB782" s="1126"/>
    </row>
    <row r="783" ht="15.75" customHeight="1">
      <c r="B783" s="1126"/>
      <c r="C783" s="1126"/>
      <c r="D783" s="1126"/>
      <c r="E783" s="1126"/>
      <c r="F783" s="1126"/>
      <c r="G783" s="1126"/>
      <c r="H783" s="1126"/>
      <c r="I783" s="1126"/>
      <c r="J783" s="1126"/>
      <c r="K783" s="1126"/>
      <c r="L783" s="1126"/>
      <c r="M783" s="1126"/>
      <c r="N783" s="1126"/>
      <c r="O783" s="1126"/>
      <c r="P783" s="1126"/>
      <c r="Q783" s="1126"/>
      <c r="R783" s="1126"/>
      <c r="S783" s="1126"/>
      <c r="T783" s="1126"/>
      <c r="U783" s="1126"/>
      <c r="V783" s="1126"/>
      <c r="W783" s="1126"/>
      <c r="X783" s="1126"/>
      <c r="Y783" s="1126"/>
      <c r="Z783" s="1126"/>
      <c r="AA783" s="1126"/>
      <c r="AB783" s="1126"/>
    </row>
    <row r="784" ht="15.75" customHeight="1">
      <c r="B784" s="1126"/>
      <c r="C784" s="1126"/>
      <c r="D784" s="1126"/>
      <c r="E784" s="1126"/>
      <c r="F784" s="1126"/>
      <c r="G784" s="1126"/>
      <c r="H784" s="1126"/>
      <c r="I784" s="1126"/>
      <c r="J784" s="1126"/>
      <c r="K784" s="1126"/>
      <c r="L784" s="1126"/>
      <c r="M784" s="1126"/>
      <c r="N784" s="1126"/>
      <c r="O784" s="1126"/>
      <c r="P784" s="1126"/>
      <c r="Q784" s="1126"/>
      <c r="R784" s="1126"/>
      <c r="S784" s="1126"/>
      <c r="T784" s="1126"/>
      <c r="U784" s="1126"/>
      <c r="V784" s="1126"/>
      <c r="W784" s="1126"/>
      <c r="X784" s="1126"/>
      <c r="Y784" s="1126"/>
      <c r="Z784" s="1126"/>
      <c r="AA784" s="1126"/>
      <c r="AB784" s="1126"/>
    </row>
    <row r="785" ht="15.75" customHeight="1">
      <c r="B785" s="1126"/>
      <c r="C785" s="1126"/>
      <c r="D785" s="1126"/>
      <c r="E785" s="1126"/>
      <c r="F785" s="1126"/>
      <c r="G785" s="1126"/>
      <c r="H785" s="1126"/>
      <c r="I785" s="1126"/>
      <c r="J785" s="1126"/>
      <c r="K785" s="1126"/>
      <c r="L785" s="1126"/>
      <c r="M785" s="1126"/>
      <c r="N785" s="1126"/>
      <c r="O785" s="1126"/>
      <c r="P785" s="1126"/>
      <c r="Q785" s="1126"/>
      <c r="R785" s="1126"/>
      <c r="S785" s="1126"/>
      <c r="T785" s="1126"/>
      <c r="U785" s="1126"/>
      <c r="V785" s="1126"/>
      <c r="W785" s="1126"/>
      <c r="X785" s="1126"/>
      <c r="Y785" s="1126"/>
      <c r="Z785" s="1126"/>
      <c r="AA785" s="1126"/>
      <c r="AB785" s="1126"/>
    </row>
    <row r="786" ht="15.75" customHeight="1">
      <c r="B786" s="1126"/>
      <c r="C786" s="1126"/>
      <c r="D786" s="1126"/>
      <c r="E786" s="1126"/>
      <c r="F786" s="1126"/>
      <c r="G786" s="1126"/>
      <c r="H786" s="1126"/>
      <c r="I786" s="1126"/>
      <c r="J786" s="1126"/>
      <c r="K786" s="1126"/>
      <c r="L786" s="1126"/>
      <c r="M786" s="1126"/>
      <c r="N786" s="1126"/>
      <c r="O786" s="1126"/>
      <c r="P786" s="1126"/>
      <c r="Q786" s="1126"/>
      <c r="R786" s="1126"/>
      <c r="S786" s="1126"/>
      <c r="T786" s="1126"/>
      <c r="U786" s="1126"/>
      <c r="V786" s="1126"/>
      <c r="W786" s="1126"/>
      <c r="X786" s="1126"/>
      <c r="Y786" s="1126"/>
      <c r="Z786" s="1126"/>
      <c r="AA786" s="1126"/>
      <c r="AB786" s="1126"/>
    </row>
    <row r="787" ht="15.75" customHeight="1">
      <c r="B787" s="1126"/>
      <c r="C787" s="1126"/>
      <c r="D787" s="1126"/>
      <c r="E787" s="1126"/>
      <c r="F787" s="1126"/>
      <c r="G787" s="1126"/>
      <c r="H787" s="1126"/>
      <c r="I787" s="1126"/>
      <c r="J787" s="1126"/>
      <c r="K787" s="1126"/>
      <c r="L787" s="1126"/>
      <c r="M787" s="1126"/>
      <c r="N787" s="1126"/>
      <c r="O787" s="1126"/>
      <c r="P787" s="1126"/>
      <c r="Q787" s="1126"/>
      <c r="R787" s="1126"/>
      <c r="S787" s="1126"/>
      <c r="T787" s="1126"/>
      <c r="U787" s="1126"/>
      <c r="V787" s="1126"/>
      <c r="W787" s="1126"/>
      <c r="X787" s="1126"/>
      <c r="Y787" s="1126"/>
      <c r="Z787" s="1126"/>
      <c r="AA787" s="1126"/>
      <c r="AB787" s="1126"/>
    </row>
    <row r="788" ht="15.75" customHeight="1">
      <c r="B788" s="1126"/>
      <c r="C788" s="1126"/>
      <c r="D788" s="1126"/>
      <c r="E788" s="1126"/>
      <c r="F788" s="1126"/>
      <c r="G788" s="1126"/>
      <c r="H788" s="1126"/>
      <c r="I788" s="1126"/>
      <c r="J788" s="1126"/>
      <c r="K788" s="1126"/>
      <c r="L788" s="1126"/>
      <c r="M788" s="1126"/>
      <c r="N788" s="1126"/>
      <c r="O788" s="1126"/>
      <c r="P788" s="1126"/>
      <c r="Q788" s="1126"/>
      <c r="R788" s="1126"/>
      <c r="S788" s="1126"/>
      <c r="T788" s="1126"/>
      <c r="U788" s="1126"/>
      <c r="V788" s="1126"/>
      <c r="W788" s="1126"/>
      <c r="X788" s="1126"/>
      <c r="Y788" s="1126"/>
      <c r="Z788" s="1126"/>
      <c r="AA788" s="1126"/>
      <c r="AB788" s="1126"/>
    </row>
    <row r="789" ht="15.75" customHeight="1">
      <c r="B789" s="1126"/>
      <c r="C789" s="1126"/>
      <c r="D789" s="1126"/>
      <c r="E789" s="1126"/>
      <c r="F789" s="1126"/>
      <c r="G789" s="1126"/>
      <c r="H789" s="1126"/>
      <c r="I789" s="1126"/>
      <c r="J789" s="1126"/>
      <c r="K789" s="1126"/>
      <c r="L789" s="1126"/>
      <c r="M789" s="1126"/>
      <c r="N789" s="1126"/>
      <c r="O789" s="1126"/>
      <c r="P789" s="1126"/>
      <c r="Q789" s="1126"/>
      <c r="R789" s="1126"/>
      <c r="S789" s="1126"/>
      <c r="T789" s="1126"/>
      <c r="U789" s="1126"/>
      <c r="V789" s="1126"/>
      <c r="W789" s="1126"/>
      <c r="X789" s="1126"/>
      <c r="Y789" s="1126"/>
      <c r="Z789" s="1126"/>
      <c r="AA789" s="1126"/>
      <c r="AB789" s="1126"/>
    </row>
    <row r="790" ht="15.75" customHeight="1">
      <c r="B790" s="1126"/>
      <c r="C790" s="1126"/>
      <c r="D790" s="1126"/>
      <c r="E790" s="1126"/>
      <c r="F790" s="1126"/>
      <c r="G790" s="1126"/>
      <c r="H790" s="1126"/>
      <c r="I790" s="1126"/>
      <c r="J790" s="1126"/>
      <c r="K790" s="1126"/>
      <c r="L790" s="1126"/>
      <c r="M790" s="1126"/>
      <c r="N790" s="1126"/>
      <c r="O790" s="1126"/>
      <c r="P790" s="1126"/>
      <c r="Q790" s="1126"/>
      <c r="R790" s="1126"/>
      <c r="S790" s="1126"/>
      <c r="T790" s="1126"/>
      <c r="U790" s="1126"/>
      <c r="V790" s="1126"/>
      <c r="W790" s="1126"/>
      <c r="X790" s="1126"/>
      <c r="Y790" s="1126"/>
      <c r="Z790" s="1126"/>
      <c r="AA790" s="1126"/>
      <c r="AB790" s="1126"/>
    </row>
    <row r="791" ht="15.75" customHeight="1">
      <c r="B791" s="1126"/>
      <c r="C791" s="1126"/>
      <c r="D791" s="1126"/>
      <c r="E791" s="1126"/>
      <c r="F791" s="1126"/>
      <c r="G791" s="1126"/>
      <c r="H791" s="1126"/>
      <c r="I791" s="1126"/>
      <c r="J791" s="1126"/>
      <c r="K791" s="1126"/>
      <c r="L791" s="1126"/>
      <c r="M791" s="1126"/>
      <c r="N791" s="1126"/>
      <c r="O791" s="1126"/>
      <c r="P791" s="1126"/>
      <c r="Q791" s="1126"/>
      <c r="R791" s="1126"/>
      <c r="S791" s="1126"/>
      <c r="T791" s="1126"/>
      <c r="U791" s="1126"/>
      <c r="V791" s="1126"/>
      <c r="W791" s="1126"/>
      <c r="X791" s="1126"/>
      <c r="Y791" s="1126"/>
      <c r="Z791" s="1126"/>
      <c r="AA791" s="1126"/>
      <c r="AB791" s="1126"/>
    </row>
    <row r="792" ht="15.75" customHeight="1">
      <c r="B792" s="1126"/>
      <c r="C792" s="1126"/>
      <c r="D792" s="1126"/>
      <c r="E792" s="1126"/>
      <c r="F792" s="1126"/>
      <c r="G792" s="1126"/>
      <c r="H792" s="1126"/>
      <c r="I792" s="1126"/>
      <c r="J792" s="1126"/>
      <c r="K792" s="1126"/>
      <c r="L792" s="1126"/>
      <c r="M792" s="1126"/>
      <c r="N792" s="1126"/>
      <c r="O792" s="1126"/>
      <c r="P792" s="1126"/>
      <c r="Q792" s="1126"/>
      <c r="R792" s="1126"/>
      <c r="S792" s="1126"/>
      <c r="T792" s="1126"/>
      <c r="U792" s="1126"/>
      <c r="V792" s="1126"/>
      <c r="W792" s="1126"/>
      <c r="X792" s="1126"/>
      <c r="Y792" s="1126"/>
      <c r="Z792" s="1126"/>
      <c r="AA792" s="1126"/>
      <c r="AB792" s="1126"/>
    </row>
    <row r="793" ht="15.75" customHeight="1">
      <c r="B793" s="1126"/>
      <c r="C793" s="1126"/>
      <c r="D793" s="1126"/>
      <c r="E793" s="1126"/>
      <c r="F793" s="1126"/>
      <c r="G793" s="1126"/>
      <c r="H793" s="1126"/>
      <c r="I793" s="1126"/>
      <c r="J793" s="1126"/>
      <c r="K793" s="1126"/>
      <c r="L793" s="1126"/>
      <c r="M793" s="1126"/>
      <c r="N793" s="1126"/>
      <c r="O793" s="1126"/>
      <c r="P793" s="1126"/>
      <c r="Q793" s="1126"/>
      <c r="R793" s="1126"/>
      <c r="S793" s="1126"/>
      <c r="T793" s="1126"/>
      <c r="U793" s="1126"/>
      <c r="V793" s="1126"/>
      <c r="W793" s="1126"/>
      <c r="X793" s="1126"/>
      <c r="Y793" s="1126"/>
      <c r="Z793" s="1126"/>
      <c r="AA793" s="1126"/>
      <c r="AB793" s="1126"/>
    </row>
    <row r="794" ht="15.75" customHeight="1">
      <c r="B794" s="1126"/>
      <c r="C794" s="1126"/>
      <c r="D794" s="1126"/>
      <c r="E794" s="1126"/>
      <c r="F794" s="1126"/>
      <c r="G794" s="1126"/>
      <c r="H794" s="1126"/>
      <c r="I794" s="1126"/>
      <c r="J794" s="1126"/>
      <c r="K794" s="1126"/>
      <c r="L794" s="1126"/>
      <c r="M794" s="1126"/>
      <c r="N794" s="1126"/>
      <c r="O794" s="1126"/>
      <c r="P794" s="1126"/>
      <c r="Q794" s="1126"/>
      <c r="R794" s="1126"/>
      <c r="S794" s="1126"/>
      <c r="T794" s="1126"/>
      <c r="U794" s="1126"/>
      <c r="V794" s="1126"/>
      <c r="W794" s="1126"/>
      <c r="X794" s="1126"/>
      <c r="Y794" s="1126"/>
      <c r="Z794" s="1126"/>
      <c r="AA794" s="1126"/>
      <c r="AB794" s="1126"/>
    </row>
    <row r="795" ht="15.75" customHeight="1">
      <c r="B795" s="1126"/>
      <c r="C795" s="1126"/>
      <c r="D795" s="1126"/>
      <c r="E795" s="1126"/>
      <c r="F795" s="1126"/>
      <c r="G795" s="1126"/>
      <c r="H795" s="1126"/>
      <c r="I795" s="1126"/>
      <c r="J795" s="1126"/>
      <c r="K795" s="1126"/>
      <c r="L795" s="1126"/>
      <c r="M795" s="1126"/>
      <c r="N795" s="1126"/>
      <c r="O795" s="1126"/>
      <c r="P795" s="1126"/>
      <c r="Q795" s="1126"/>
      <c r="R795" s="1126"/>
      <c r="S795" s="1126"/>
      <c r="T795" s="1126"/>
      <c r="U795" s="1126"/>
      <c r="V795" s="1126"/>
      <c r="W795" s="1126"/>
      <c r="X795" s="1126"/>
      <c r="Y795" s="1126"/>
      <c r="Z795" s="1126"/>
      <c r="AA795" s="1126"/>
      <c r="AB795" s="1126"/>
    </row>
    <row r="796" ht="15.75" customHeight="1">
      <c r="B796" s="1126"/>
      <c r="C796" s="1126"/>
      <c r="D796" s="1126"/>
      <c r="E796" s="1126"/>
      <c r="F796" s="1126"/>
      <c r="G796" s="1126"/>
      <c r="H796" s="1126"/>
      <c r="I796" s="1126"/>
      <c r="J796" s="1126"/>
      <c r="K796" s="1126"/>
      <c r="L796" s="1126"/>
      <c r="M796" s="1126"/>
      <c r="N796" s="1126"/>
      <c r="O796" s="1126"/>
      <c r="P796" s="1126"/>
      <c r="Q796" s="1126"/>
      <c r="R796" s="1126"/>
      <c r="S796" s="1126"/>
      <c r="T796" s="1126"/>
      <c r="U796" s="1126"/>
      <c r="V796" s="1126"/>
      <c r="W796" s="1126"/>
      <c r="X796" s="1126"/>
      <c r="Y796" s="1126"/>
      <c r="Z796" s="1126"/>
      <c r="AA796" s="1126"/>
      <c r="AB796" s="1126"/>
    </row>
    <row r="797" ht="15.75" customHeight="1">
      <c r="B797" s="1126"/>
      <c r="C797" s="1126"/>
      <c r="D797" s="1126"/>
      <c r="E797" s="1126"/>
      <c r="F797" s="1126"/>
      <c r="G797" s="1126"/>
      <c r="H797" s="1126"/>
      <c r="I797" s="1126"/>
      <c r="J797" s="1126"/>
      <c r="K797" s="1126"/>
      <c r="L797" s="1126"/>
      <c r="M797" s="1126"/>
      <c r="N797" s="1126"/>
      <c r="O797" s="1126"/>
      <c r="P797" s="1126"/>
      <c r="Q797" s="1126"/>
      <c r="R797" s="1126"/>
      <c r="S797" s="1126"/>
      <c r="T797" s="1126"/>
      <c r="U797" s="1126"/>
      <c r="V797" s="1126"/>
      <c r="W797" s="1126"/>
      <c r="X797" s="1126"/>
      <c r="Y797" s="1126"/>
      <c r="Z797" s="1126"/>
      <c r="AA797" s="1126"/>
      <c r="AB797" s="1126"/>
    </row>
    <row r="798" ht="15.75" customHeight="1">
      <c r="B798" s="1126"/>
      <c r="C798" s="1126"/>
      <c r="D798" s="1126"/>
      <c r="E798" s="1126"/>
      <c r="F798" s="1126"/>
      <c r="G798" s="1126"/>
      <c r="H798" s="1126"/>
      <c r="I798" s="1126"/>
      <c r="J798" s="1126"/>
      <c r="K798" s="1126"/>
      <c r="L798" s="1126"/>
      <c r="M798" s="1126"/>
      <c r="N798" s="1126"/>
      <c r="O798" s="1126"/>
      <c r="P798" s="1126"/>
      <c r="Q798" s="1126"/>
      <c r="R798" s="1126"/>
      <c r="S798" s="1126"/>
      <c r="T798" s="1126"/>
      <c r="U798" s="1126"/>
      <c r="V798" s="1126"/>
      <c r="W798" s="1126"/>
      <c r="X798" s="1126"/>
      <c r="Y798" s="1126"/>
      <c r="Z798" s="1126"/>
      <c r="AA798" s="1126"/>
      <c r="AB798" s="1126"/>
    </row>
    <row r="799" ht="15.75" customHeight="1">
      <c r="B799" s="1126"/>
      <c r="C799" s="1126"/>
      <c r="D799" s="1126"/>
      <c r="E799" s="1126"/>
      <c r="F799" s="1126"/>
      <c r="G799" s="1126"/>
      <c r="H799" s="1126"/>
      <c r="I799" s="1126"/>
      <c r="J799" s="1126"/>
      <c r="K799" s="1126"/>
      <c r="L799" s="1126"/>
      <c r="M799" s="1126"/>
      <c r="N799" s="1126"/>
      <c r="O799" s="1126"/>
      <c r="P799" s="1126"/>
      <c r="Q799" s="1126"/>
      <c r="R799" s="1126"/>
      <c r="S799" s="1126"/>
      <c r="T799" s="1126"/>
      <c r="U799" s="1126"/>
      <c r="V799" s="1126"/>
      <c r="W799" s="1126"/>
      <c r="X799" s="1126"/>
      <c r="Y799" s="1126"/>
      <c r="Z799" s="1126"/>
      <c r="AA799" s="1126"/>
      <c r="AB799" s="1126"/>
    </row>
    <row r="800" ht="15.75" customHeight="1">
      <c r="B800" s="1126"/>
      <c r="C800" s="1126"/>
      <c r="D800" s="1126"/>
      <c r="E800" s="1126"/>
      <c r="F800" s="1126"/>
      <c r="G800" s="1126"/>
      <c r="H800" s="1126"/>
      <c r="I800" s="1126"/>
      <c r="J800" s="1126"/>
      <c r="K800" s="1126"/>
      <c r="L800" s="1126"/>
      <c r="M800" s="1126"/>
      <c r="N800" s="1126"/>
      <c r="O800" s="1126"/>
      <c r="P800" s="1126"/>
      <c r="Q800" s="1126"/>
      <c r="R800" s="1126"/>
      <c r="S800" s="1126"/>
      <c r="T800" s="1126"/>
      <c r="U800" s="1126"/>
      <c r="V800" s="1126"/>
      <c r="W800" s="1126"/>
      <c r="X800" s="1126"/>
      <c r="Y800" s="1126"/>
      <c r="Z800" s="1126"/>
      <c r="AA800" s="1126"/>
      <c r="AB800" s="1126"/>
    </row>
    <row r="801" ht="15.75" customHeight="1">
      <c r="B801" s="1126"/>
      <c r="C801" s="1126"/>
      <c r="D801" s="1126"/>
      <c r="E801" s="1126"/>
      <c r="F801" s="1126"/>
      <c r="G801" s="1126"/>
      <c r="H801" s="1126"/>
      <c r="I801" s="1126"/>
      <c r="J801" s="1126"/>
      <c r="K801" s="1126"/>
      <c r="L801" s="1126"/>
      <c r="M801" s="1126"/>
      <c r="N801" s="1126"/>
      <c r="O801" s="1126"/>
      <c r="P801" s="1126"/>
      <c r="Q801" s="1126"/>
      <c r="R801" s="1126"/>
      <c r="S801" s="1126"/>
      <c r="T801" s="1126"/>
      <c r="U801" s="1126"/>
      <c r="V801" s="1126"/>
      <c r="W801" s="1126"/>
      <c r="X801" s="1126"/>
      <c r="Y801" s="1126"/>
      <c r="Z801" s="1126"/>
      <c r="AA801" s="1126"/>
      <c r="AB801" s="1126"/>
    </row>
    <row r="802" ht="15.75" customHeight="1">
      <c r="B802" s="1126"/>
      <c r="C802" s="1126"/>
      <c r="D802" s="1126"/>
      <c r="E802" s="1126"/>
      <c r="F802" s="1126"/>
      <c r="G802" s="1126"/>
      <c r="H802" s="1126"/>
      <c r="I802" s="1126"/>
      <c r="J802" s="1126"/>
      <c r="K802" s="1126"/>
      <c r="L802" s="1126"/>
      <c r="M802" s="1126"/>
      <c r="N802" s="1126"/>
      <c r="O802" s="1126"/>
      <c r="P802" s="1126"/>
      <c r="Q802" s="1126"/>
      <c r="R802" s="1126"/>
      <c r="S802" s="1126"/>
      <c r="T802" s="1126"/>
      <c r="U802" s="1126"/>
      <c r="V802" s="1126"/>
      <c r="W802" s="1126"/>
      <c r="X802" s="1126"/>
      <c r="Y802" s="1126"/>
      <c r="Z802" s="1126"/>
      <c r="AA802" s="1126"/>
      <c r="AB802" s="1126"/>
    </row>
    <row r="803" ht="15.75" customHeight="1">
      <c r="B803" s="1126"/>
      <c r="C803" s="1126"/>
      <c r="D803" s="1126"/>
      <c r="E803" s="1126"/>
      <c r="F803" s="1126"/>
      <c r="G803" s="1126"/>
      <c r="H803" s="1126"/>
      <c r="I803" s="1126"/>
      <c r="J803" s="1126"/>
      <c r="K803" s="1126"/>
      <c r="L803" s="1126"/>
      <c r="M803" s="1126"/>
      <c r="N803" s="1126"/>
      <c r="O803" s="1126"/>
      <c r="P803" s="1126"/>
      <c r="Q803" s="1126"/>
      <c r="R803" s="1126"/>
      <c r="S803" s="1126"/>
      <c r="T803" s="1126"/>
      <c r="U803" s="1126"/>
      <c r="V803" s="1126"/>
      <c r="W803" s="1126"/>
      <c r="X803" s="1126"/>
      <c r="Y803" s="1126"/>
      <c r="Z803" s="1126"/>
      <c r="AA803" s="1126"/>
      <c r="AB803" s="1126"/>
    </row>
    <row r="804" ht="15.75" customHeight="1">
      <c r="B804" s="1126"/>
      <c r="C804" s="1126"/>
      <c r="D804" s="1126"/>
      <c r="E804" s="1126"/>
      <c r="F804" s="1126"/>
      <c r="G804" s="1126"/>
      <c r="H804" s="1126"/>
      <c r="I804" s="1126"/>
      <c r="J804" s="1126"/>
      <c r="K804" s="1126"/>
      <c r="L804" s="1126"/>
      <c r="M804" s="1126"/>
      <c r="N804" s="1126"/>
      <c r="O804" s="1126"/>
      <c r="P804" s="1126"/>
      <c r="Q804" s="1126"/>
      <c r="R804" s="1126"/>
      <c r="S804" s="1126"/>
      <c r="T804" s="1126"/>
      <c r="U804" s="1126"/>
      <c r="V804" s="1126"/>
      <c r="W804" s="1126"/>
      <c r="X804" s="1126"/>
      <c r="Y804" s="1126"/>
      <c r="Z804" s="1126"/>
      <c r="AA804" s="1126"/>
      <c r="AB804" s="1126"/>
    </row>
    <row r="805" ht="15.75" customHeight="1">
      <c r="B805" s="1126"/>
      <c r="C805" s="1126"/>
      <c r="D805" s="1126"/>
      <c r="E805" s="1126"/>
      <c r="F805" s="1126"/>
      <c r="G805" s="1126"/>
      <c r="H805" s="1126"/>
      <c r="I805" s="1126"/>
      <c r="J805" s="1126"/>
      <c r="K805" s="1126"/>
      <c r="L805" s="1126"/>
      <c r="M805" s="1126"/>
      <c r="N805" s="1126"/>
      <c r="O805" s="1126"/>
      <c r="P805" s="1126"/>
      <c r="Q805" s="1126"/>
      <c r="R805" s="1126"/>
      <c r="S805" s="1126"/>
      <c r="T805" s="1126"/>
      <c r="U805" s="1126"/>
      <c r="V805" s="1126"/>
      <c r="W805" s="1126"/>
      <c r="X805" s="1126"/>
      <c r="Y805" s="1126"/>
      <c r="Z805" s="1126"/>
      <c r="AA805" s="1126"/>
      <c r="AB805" s="1126"/>
    </row>
    <row r="806" ht="15.75" customHeight="1">
      <c r="B806" s="1126"/>
      <c r="C806" s="1126"/>
      <c r="D806" s="1126"/>
      <c r="E806" s="1126"/>
      <c r="F806" s="1126"/>
      <c r="G806" s="1126"/>
      <c r="H806" s="1126"/>
      <c r="I806" s="1126"/>
      <c r="J806" s="1126"/>
      <c r="K806" s="1126"/>
      <c r="L806" s="1126"/>
      <c r="M806" s="1126"/>
      <c r="N806" s="1126"/>
      <c r="O806" s="1126"/>
      <c r="P806" s="1126"/>
      <c r="Q806" s="1126"/>
      <c r="R806" s="1126"/>
      <c r="S806" s="1126"/>
      <c r="T806" s="1126"/>
      <c r="U806" s="1126"/>
      <c r="V806" s="1126"/>
      <c r="W806" s="1126"/>
      <c r="X806" s="1126"/>
      <c r="Y806" s="1126"/>
      <c r="Z806" s="1126"/>
      <c r="AA806" s="1126"/>
      <c r="AB806" s="1126"/>
    </row>
    <row r="807" ht="15.75" customHeight="1">
      <c r="B807" s="1126"/>
      <c r="C807" s="1126"/>
      <c r="D807" s="1126"/>
      <c r="E807" s="1126"/>
      <c r="F807" s="1126"/>
      <c r="G807" s="1126"/>
      <c r="H807" s="1126"/>
      <c r="I807" s="1126"/>
      <c r="J807" s="1126"/>
      <c r="K807" s="1126"/>
      <c r="L807" s="1126"/>
      <c r="M807" s="1126"/>
      <c r="N807" s="1126"/>
      <c r="O807" s="1126"/>
      <c r="P807" s="1126"/>
      <c r="Q807" s="1126"/>
      <c r="R807" s="1126"/>
      <c r="S807" s="1126"/>
      <c r="T807" s="1126"/>
      <c r="U807" s="1126"/>
      <c r="V807" s="1126"/>
      <c r="W807" s="1126"/>
      <c r="X807" s="1126"/>
      <c r="Y807" s="1126"/>
      <c r="Z807" s="1126"/>
      <c r="AA807" s="1126"/>
      <c r="AB807" s="1126"/>
    </row>
    <row r="808" ht="15.75" customHeight="1">
      <c r="B808" s="1126"/>
      <c r="C808" s="1126"/>
      <c r="D808" s="1126"/>
      <c r="E808" s="1126"/>
      <c r="F808" s="1126"/>
      <c r="G808" s="1126"/>
      <c r="H808" s="1126"/>
      <c r="I808" s="1126"/>
      <c r="J808" s="1126"/>
      <c r="K808" s="1126"/>
      <c r="L808" s="1126"/>
      <c r="M808" s="1126"/>
      <c r="N808" s="1126"/>
      <c r="O808" s="1126"/>
      <c r="P808" s="1126"/>
      <c r="Q808" s="1126"/>
      <c r="R808" s="1126"/>
      <c r="S808" s="1126"/>
      <c r="T808" s="1126"/>
      <c r="U808" s="1126"/>
      <c r="V808" s="1126"/>
      <c r="W808" s="1126"/>
      <c r="X808" s="1126"/>
      <c r="Y808" s="1126"/>
      <c r="Z808" s="1126"/>
      <c r="AA808" s="1126"/>
      <c r="AB808" s="1126"/>
    </row>
    <row r="809" ht="15.75" customHeight="1">
      <c r="B809" s="1126"/>
      <c r="C809" s="1126"/>
      <c r="D809" s="1126"/>
      <c r="E809" s="1126"/>
      <c r="F809" s="1126"/>
      <c r="G809" s="1126"/>
      <c r="H809" s="1126"/>
      <c r="I809" s="1126"/>
      <c r="J809" s="1126"/>
      <c r="K809" s="1126"/>
      <c r="L809" s="1126"/>
      <c r="M809" s="1126"/>
      <c r="N809" s="1126"/>
      <c r="O809" s="1126"/>
      <c r="P809" s="1126"/>
      <c r="Q809" s="1126"/>
      <c r="R809" s="1126"/>
      <c r="S809" s="1126"/>
      <c r="T809" s="1126"/>
      <c r="U809" s="1126"/>
      <c r="V809" s="1126"/>
      <c r="W809" s="1126"/>
      <c r="X809" s="1126"/>
      <c r="Y809" s="1126"/>
      <c r="Z809" s="1126"/>
      <c r="AA809" s="1126"/>
      <c r="AB809" s="1126"/>
    </row>
    <row r="810" ht="15.75" customHeight="1">
      <c r="B810" s="1126"/>
      <c r="C810" s="1126"/>
      <c r="D810" s="1126"/>
      <c r="E810" s="1126"/>
      <c r="F810" s="1126"/>
      <c r="G810" s="1126"/>
      <c r="H810" s="1126"/>
      <c r="I810" s="1126"/>
      <c r="J810" s="1126"/>
      <c r="K810" s="1126"/>
      <c r="L810" s="1126"/>
      <c r="M810" s="1126"/>
      <c r="N810" s="1126"/>
      <c r="O810" s="1126"/>
      <c r="P810" s="1126"/>
      <c r="Q810" s="1126"/>
      <c r="R810" s="1126"/>
      <c r="S810" s="1126"/>
      <c r="T810" s="1126"/>
      <c r="U810" s="1126"/>
      <c r="V810" s="1126"/>
      <c r="W810" s="1126"/>
      <c r="X810" s="1126"/>
      <c r="Y810" s="1126"/>
      <c r="Z810" s="1126"/>
      <c r="AA810" s="1126"/>
      <c r="AB810" s="1126"/>
    </row>
    <row r="811" ht="15.75" customHeight="1">
      <c r="B811" s="1126"/>
      <c r="C811" s="1126"/>
      <c r="D811" s="1126"/>
      <c r="E811" s="1126"/>
      <c r="F811" s="1126"/>
      <c r="G811" s="1126"/>
      <c r="H811" s="1126"/>
      <c r="I811" s="1126"/>
      <c r="J811" s="1126"/>
      <c r="K811" s="1126"/>
      <c r="L811" s="1126"/>
      <c r="M811" s="1126"/>
      <c r="N811" s="1126"/>
      <c r="O811" s="1126"/>
      <c r="P811" s="1126"/>
      <c r="Q811" s="1126"/>
      <c r="R811" s="1126"/>
      <c r="S811" s="1126"/>
      <c r="T811" s="1126"/>
      <c r="U811" s="1126"/>
      <c r="V811" s="1126"/>
      <c r="W811" s="1126"/>
      <c r="X811" s="1126"/>
      <c r="Y811" s="1126"/>
      <c r="Z811" s="1126"/>
      <c r="AA811" s="1126"/>
      <c r="AB811" s="1126"/>
    </row>
    <row r="812" ht="15.75" customHeight="1">
      <c r="B812" s="1126"/>
      <c r="C812" s="1126"/>
      <c r="D812" s="1126"/>
      <c r="E812" s="1126"/>
      <c r="F812" s="1126"/>
      <c r="G812" s="1126"/>
      <c r="H812" s="1126"/>
      <c r="I812" s="1126"/>
      <c r="J812" s="1126"/>
      <c r="K812" s="1126"/>
      <c r="L812" s="1126"/>
      <c r="M812" s="1126"/>
      <c r="N812" s="1126"/>
      <c r="O812" s="1126"/>
      <c r="P812" s="1126"/>
      <c r="Q812" s="1126"/>
      <c r="R812" s="1126"/>
      <c r="S812" s="1126"/>
      <c r="T812" s="1126"/>
      <c r="U812" s="1126"/>
      <c r="V812" s="1126"/>
      <c r="W812" s="1126"/>
      <c r="X812" s="1126"/>
      <c r="Y812" s="1126"/>
      <c r="Z812" s="1126"/>
      <c r="AA812" s="1126"/>
      <c r="AB812" s="1126"/>
    </row>
    <row r="813" ht="15.75" customHeight="1">
      <c r="B813" s="1126"/>
      <c r="C813" s="1126"/>
      <c r="D813" s="1126"/>
      <c r="E813" s="1126"/>
      <c r="F813" s="1126"/>
      <c r="G813" s="1126"/>
      <c r="H813" s="1126"/>
      <c r="I813" s="1126"/>
      <c r="J813" s="1126"/>
      <c r="K813" s="1126"/>
      <c r="L813" s="1126"/>
      <c r="M813" s="1126"/>
      <c r="N813" s="1126"/>
      <c r="O813" s="1126"/>
      <c r="P813" s="1126"/>
      <c r="Q813" s="1126"/>
      <c r="R813" s="1126"/>
      <c r="S813" s="1126"/>
      <c r="T813" s="1126"/>
      <c r="U813" s="1126"/>
      <c r="V813" s="1126"/>
      <c r="W813" s="1126"/>
      <c r="X813" s="1126"/>
      <c r="Y813" s="1126"/>
      <c r="Z813" s="1126"/>
      <c r="AA813" s="1126"/>
      <c r="AB813" s="1126"/>
    </row>
    <row r="814" ht="15.75" customHeight="1">
      <c r="B814" s="1126"/>
      <c r="C814" s="1126"/>
      <c r="D814" s="1126"/>
      <c r="E814" s="1126"/>
      <c r="F814" s="1126"/>
      <c r="G814" s="1126"/>
      <c r="H814" s="1126"/>
      <c r="I814" s="1126"/>
      <c r="J814" s="1126"/>
      <c r="K814" s="1126"/>
      <c r="L814" s="1126"/>
      <c r="M814" s="1126"/>
      <c r="N814" s="1126"/>
      <c r="O814" s="1126"/>
      <c r="P814" s="1126"/>
      <c r="Q814" s="1126"/>
      <c r="R814" s="1126"/>
      <c r="S814" s="1126"/>
      <c r="T814" s="1126"/>
      <c r="U814" s="1126"/>
      <c r="V814" s="1126"/>
      <c r="W814" s="1126"/>
      <c r="X814" s="1126"/>
      <c r="Y814" s="1126"/>
      <c r="Z814" s="1126"/>
      <c r="AA814" s="1126"/>
      <c r="AB814" s="1126"/>
    </row>
    <row r="815" ht="15.75" customHeight="1">
      <c r="B815" s="1126"/>
      <c r="C815" s="1126"/>
      <c r="D815" s="1126"/>
      <c r="E815" s="1126"/>
      <c r="F815" s="1126"/>
      <c r="G815" s="1126"/>
      <c r="H815" s="1126"/>
      <c r="I815" s="1126"/>
      <c r="J815" s="1126"/>
      <c r="K815" s="1126"/>
      <c r="L815" s="1126"/>
      <c r="M815" s="1126"/>
      <c r="N815" s="1126"/>
      <c r="O815" s="1126"/>
      <c r="P815" s="1126"/>
      <c r="Q815" s="1126"/>
      <c r="R815" s="1126"/>
      <c r="S815" s="1126"/>
      <c r="T815" s="1126"/>
      <c r="U815" s="1126"/>
      <c r="V815" s="1126"/>
      <c r="W815" s="1126"/>
      <c r="X815" s="1126"/>
      <c r="Y815" s="1126"/>
      <c r="Z815" s="1126"/>
      <c r="AA815" s="1126"/>
      <c r="AB815" s="1126"/>
    </row>
    <row r="816" ht="15.75" customHeight="1">
      <c r="B816" s="1126"/>
      <c r="C816" s="1126"/>
      <c r="D816" s="1126"/>
      <c r="E816" s="1126"/>
      <c r="F816" s="1126"/>
      <c r="G816" s="1126"/>
      <c r="H816" s="1126"/>
      <c r="I816" s="1126"/>
      <c r="J816" s="1126"/>
      <c r="K816" s="1126"/>
      <c r="L816" s="1126"/>
      <c r="M816" s="1126"/>
      <c r="N816" s="1126"/>
      <c r="O816" s="1126"/>
      <c r="P816" s="1126"/>
      <c r="Q816" s="1126"/>
      <c r="R816" s="1126"/>
      <c r="S816" s="1126"/>
      <c r="T816" s="1126"/>
      <c r="U816" s="1126"/>
      <c r="V816" s="1126"/>
      <c r="W816" s="1126"/>
      <c r="X816" s="1126"/>
      <c r="Y816" s="1126"/>
      <c r="Z816" s="1126"/>
      <c r="AA816" s="1126"/>
      <c r="AB816" s="1126"/>
    </row>
    <row r="817" ht="15.75" customHeight="1">
      <c r="B817" s="1126"/>
      <c r="C817" s="1126"/>
      <c r="D817" s="1126"/>
      <c r="E817" s="1126"/>
      <c r="F817" s="1126"/>
      <c r="G817" s="1126"/>
      <c r="H817" s="1126"/>
      <c r="I817" s="1126"/>
      <c r="J817" s="1126"/>
      <c r="K817" s="1126"/>
      <c r="L817" s="1126"/>
      <c r="M817" s="1126"/>
      <c r="N817" s="1126"/>
      <c r="O817" s="1126"/>
      <c r="P817" s="1126"/>
      <c r="Q817" s="1126"/>
      <c r="R817" s="1126"/>
      <c r="S817" s="1126"/>
      <c r="T817" s="1126"/>
      <c r="U817" s="1126"/>
      <c r="V817" s="1126"/>
      <c r="W817" s="1126"/>
      <c r="X817" s="1126"/>
      <c r="Y817" s="1126"/>
      <c r="Z817" s="1126"/>
      <c r="AA817" s="1126"/>
      <c r="AB817" s="1126"/>
    </row>
    <row r="818" ht="15.75" customHeight="1">
      <c r="B818" s="1126"/>
      <c r="C818" s="1126"/>
      <c r="D818" s="1126"/>
      <c r="E818" s="1126"/>
      <c r="F818" s="1126"/>
      <c r="G818" s="1126"/>
      <c r="H818" s="1126"/>
      <c r="I818" s="1126"/>
      <c r="J818" s="1126"/>
      <c r="K818" s="1126"/>
      <c r="L818" s="1126"/>
      <c r="M818" s="1126"/>
      <c r="N818" s="1126"/>
      <c r="O818" s="1126"/>
      <c r="P818" s="1126"/>
      <c r="Q818" s="1126"/>
      <c r="R818" s="1126"/>
      <c r="S818" s="1126"/>
      <c r="T818" s="1126"/>
      <c r="U818" s="1126"/>
      <c r="V818" s="1126"/>
      <c r="W818" s="1126"/>
      <c r="X818" s="1126"/>
      <c r="Y818" s="1126"/>
      <c r="Z818" s="1126"/>
      <c r="AA818" s="1126"/>
      <c r="AB818" s="1126"/>
    </row>
    <row r="819" ht="15.75" customHeight="1">
      <c r="B819" s="1126"/>
      <c r="C819" s="1126"/>
      <c r="D819" s="1126"/>
      <c r="E819" s="1126"/>
      <c r="F819" s="1126"/>
      <c r="G819" s="1126"/>
      <c r="H819" s="1126"/>
      <c r="I819" s="1126"/>
      <c r="J819" s="1126"/>
      <c r="K819" s="1126"/>
      <c r="L819" s="1126"/>
      <c r="M819" s="1126"/>
      <c r="N819" s="1126"/>
      <c r="O819" s="1126"/>
      <c r="P819" s="1126"/>
      <c r="Q819" s="1126"/>
      <c r="R819" s="1126"/>
      <c r="S819" s="1126"/>
      <c r="T819" s="1126"/>
      <c r="U819" s="1126"/>
      <c r="V819" s="1126"/>
      <c r="W819" s="1126"/>
      <c r="X819" s="1126"/>
      <c r="Y819" s="1126"/>
      <c r="Z819" s="1126"/>
      <c r="AA819" s="1126"/>
      <c r="AB819" s="1126"/>
    </row>
    <row r="820" ht="15.75" customHeight="1">
      <c r="B820" s="1126"/>
      <c r="C820" s="1126"/>
      <c r="D820" s="1126"/>
      <c r="E820" s="1126"/>
      <c r="F820" s="1126"/>
      <c r="G820" s="1126"/>
      <c r="H820" s="1126"/>
      <c r="I820" s="1126"/>
      <c r="J820" s="1126"/>
      <c r="K820" s="1126"/>
      <c r="L820" s="1126"/>
      <c r="M820" s="1126"/>
      <c r="N820" s="1126"/>
      <c r="O820" s="1126"/>
      <c r="P820" s="1126"/>
      <c r="Q820" s="1126"/>
      <c r="R820" s="1126"/>
      <c r="S820" s="1126"/>
      <c r="T820" s="1126"/>
      <c r="U820" s="1126"/>
      <c r="V820" s="1126"/>
      <c r="W820" s="1126"/>
      <c r="X820" s="1126"/>
      <c r="Y820" s="1126"/>
      <c r="Z820" s="1126"/>
      <c r="AA820" s="1126"/>
      <c r="AB820" s="1126"/>
    </row>
    <row r="821" ht="15.75" customHeight="1">
      <c r="B821" s="1126"/>
      <c r="C821" s="1126"/>
      <c r="D821" s="1126"/>
      <c r="E821" s="1126"/>
      <c r="F821" s="1126"/>
      <c r="G821" s="1126"/>
      <c r="H821" s="1126"/>
      <c r="I821" s="1126"/>
      <c r="J821" s="1126"/>
      <c r="K821" s="1126"/>
      <c r="L821" s="1126"/>
      <c r="M821" s="1126"/>
      <c r="N821" s="1126"/>
      <c r="O821" s="1126"/>
      <c r="P821" s="1126"/>
      <c r="Q821" s="1126"/>
      <c r="R821" s="1126"/>
      <c r="S821" s="1126"/>
      <c r="T821" s="1126"/>
      <c r="U821" s="1126"/>
      <c r="V821" s="1126"/>
      <c r="W821" s="1126"/>
      <c r="X821" s="1126"/>
      <c r="Y821" s="1126"/>
      <c r="Z821" s="1126"/>
      <c r="AA821" s="1126"/>
      <c r="AB821" s="1126"/>
    </row>
    <row r="822" ht="15.75" customHeight="1">
      <c r="B822" s="1126"/>
      <c r="C822" s="1126"/>
      <c r="D822" s="1126"/>
      <c r="E822" s="1126"/>
      <c r="F822" s="1126"/>
      <c r="G822" s="1126"/>
      <c r="H822" s="1126"/>
      <c r="I822" s="1126"/>
      <c r="J822" s="1126"/>
      <c r="K822" s="1126"/>
      <c r="L822" s="1126"/>
      <c r="M822" s="1126"/>
      <c r="N822" s="1126"/>
      <c r="O822" s="1126"/>
      <c r="P822" s="1126"/>
      <c r="Q822" s="1126"/>
      <c r="R822" s="1126"/>
      <c r="S822" s="1126"/>
      <c r="T822" s="1126"/>
      <c r="U822" s="1126"/>
      <c r="V822" s="1126"/>
      <c r="W822" s="1126"/>
      <c r="X822" s="1126"/>
      <c r="Y822" s="1126"/>
      <c r="Z822" s="1126"/>
      <c r="AA822" s="1126"/>
      <c r="AB822" s="1126"/>
    </row>
    <row r="823" ht="15.75" customHeight="1">
      <c r="B823" s="1126"/>
      <c r="C823" s="1126"/>
      <c r="D823" s="1126"/>
      <c r="E823" s="1126"/>
      <c r="F823" s="1126"/>
      <c r="G823" s="1126"/>
      <c r="H823" s="1126"/>
      <c r="I823" s="1126"/>
      <c r="J823" s="1126"/>
      <c r="K823" s="1126"/>
      <c r="L823" s="1126"/>
      <c r="M823" s="1126"/>
      <c r="N823" s="1126"/>
      <c r="O823" s="1126"/>
      <c r="P823" s="1126"/>
      <c r="Q823" s="1126"/>
      <c r="R823" s="1126"/>
      <c r="S823" s="1126"/>
      <c r="T823" s="1126"/>
      <c r="U823" s="1126"/>
      <c r="V823" s="1126"/>
      <c r="W823" s="1126"/>
      <c r="X823" s="1126"/>
      <c r="Y823" s="1126"/>
      <c r="Z823" s="1126"/>
      <c r="AA823" s="1126"/>
      <c r="AB823" s="1126"/>
    </row>
    <row r="824" ht="15.75" customHeight="1">
      <c r="B824" s="1126"/>
      <c r="C824" s="1126"/>
      <c r="D824" s="1126"/>
      <c r="E824" s="1126"/>
      <c r="F824" s="1126"/>
      <c r="G824" s="1126"/>
      <c r="H824" s="1126"/>
      <c r="I824" s="1126"/>
      <c r="J824" s="1126"/>
      <c r="K824" s="1126"/>
      <c r="L824" s="1126"/>
      <c r="M824" s="1126"/>
      <c r="N824" s="1126"/>
      <c r="O824" s="1126"/>
      <c r="P824" s="1126"/>
      <c r="Q824" s="1126"/>
      <c r="R824" s="1126"/>
      <c r="S824" s="1126"/>
      <c r="T824" s="1126"/>
      <c r="U824" s="1126"/>
      <c r="V824" s="1126"/>
      <c r="W824" s="1126"/>
      <c r="X824" s="1126"/>
      <c r="Y824" s="1126"/>
      <c r="Z824" s="1126"/>
      <c r="AA824" s="1126"/>
      <c r="AB824" s="1126"/>
    </row>
    <row r="825" ht="15.75" customHeight="1">
      <c r="B825" s="1126"/>
      <c r="C825" s="1126"/>
      <c r="D825" s="1126"/>
      <c r="E825" s="1126"/>
      <c r="F825" s="1126"/>
      <c r="G825" s="1126"/>
      <c r="H825" s="1126"/>
      <c r="I825" s="1126"/>
      <c r="J825" s="1126"/>
      <c r="K825" s="1126"/>
      <c r="L825" s="1126"/>
      <c r="M825" s="1126"/>
      <c r="N825" s="1126"/>
      <c r="O825" s="1126"/>
      <c r="P825" s="1126"/>
      <c r="Q825" s="1126"/>
      <c r="R825" s="1126"/>
      <c r="S825" s="1126"/>
      <c r="T825" s="1126"/>
      <c r="U825" s="1126"/>
      <c r="V825" s="1126"/>
      <c r="W825" s="1126"/>
      <c r="X825" s="1126"/>
      <c r="Y825" s="1126"/>
      <c r="Z825" s="1126"/>
      <c r="AA825" s="1126"/>
      <c r="AB825" s="1126"/>
    </row>
    <row r="826" ht="15.75" customHeight="1">
      <c r="B826" s="1126"/>
      <c r="C826" s="1126"/>
      <c r="D826" s="1126"/>
      <c r="E826" s="1126"/>
      <c r="F826" s="1126"/>
      <c r="G826" s="1126"/>
      <c r="H826" s="1126"/>
      <c r="I826" s="1126"/>
      <c r="J826" s="1126"/>
      <c r="K826" s="1126"/>
      <c r="L826" s="1126"/>
      <c r="M826" s="1126"/>
      <c r="N826" s="1126"/>
      <c r="O826" s="1126"/>
      <c r="P826" s="1126"/>
      <c r="Q826" s="1126"/>
      <c r="R826" s="1126"/>
      <c r="S826" s="1126"/>
      <c r="T826" s="1126"/>
      <c r="U826" s="1126"/>
      <c r="V826" s="1126"/>
      <c r="W826" s="1126"/>
      <c r="X826" s="1126"/>
      <c r="Y826" s="1126"/>
      <c r="Z826" s="1126"/>
      <c r="AA826" s="1126"/>
      <c r="AB826" s="1126"/>
    </row>
    <row r="827" ht="15.75" customHeight="1">
      <c r="B827" s="1126"/>
      <c r="C827" s="1126"/>
      <c r="D827" s="1126"/>
      <c r="E827" s="1126"/>
      <c r="F827" s="1126"/>
      <c r="G827" s="1126"/>
      <c r="H827" s="1126"/>
      <c r="I827" s="1126"/>
      <c r="J827" s="1126"/>
      <c r="K827" s="1126"/>
      <c r="L827" s="1126"/>
      <c r="M827" s="1126"/>
      <c r="N827" s="1126"/>
      <c r="O827" s="1126"/>
      <c r="P827" s="1126"/>
      <c r="Q827" s="1126"/>
      <c r="R827" s="1126"/>
      <c r="S827" s="1126"/>
      <c r="T827" s="1126"/>
      <c r="U827" s="1126"/>
      <c r="V827" s="1126"/>
      <c r="W827" s="1126"/>
      <c r="X827" s="1126"/>
      <c r="Y827" s="1126"/>
      <c r="Z827" s="1126"/>
      <c r="AA827" s="1126"/>
      <c r="AB827" s="1126"/>
    </row>
    <row r="828" ht="15.75" customHeight="1">
      <c r="B828" s="1126"/>
      <c r="C828" s="1126"/>
      <c r="D828" s="1126"/>
      <c r="E828" s="1126"/>
      <c r="F828" s="1126"/>
      <c r="G828" s="1126"/>
      <c r="H828" s="1126"/>
      <c r="I828" s="1126"/>
      <c r="J828" s="1126"/>
      <c r="K828" s="1126"/>
      <c r="L828" s="1126"/>
      <c r="M828" s="1126"/>
      <c r="N828" s="1126"/>
      <c r="O828" s="1126"/>
      <c r="P828" s="1126"/>
      <c r="Q828" s="1126"/>
      <c r="R828" s="1126"/>
      <c r="S828" s="1126"/>
      <c r="T828" s="1126"/>
      <c r="U828" s="1126"/>
      <c r="V828" s="1126"/>
      <c r="W828" s="1126"/>
      <c r="X828" s="1126"/>
      <c r="Y828" s="1126"/>
      <c r="Z828" s="1126"/>
      <c r="AA828" s="1126"/>
      <c r="AB828" s="1126"/>
    </row>
    <row r="829" ht="15.75" customHeight="1">
      <c r="B829" s="1126"/>
      <c r="C829" s="1126"/>
      <c r="D829" s="1126"/>
      <c r="E829" s="1126"/>
      <c r="F829" s="1126"/>
      <c r="G829" s="1126"/>
      <c r="H829" s="1126"/>
      <c r="I829" s="1126"/>
      <c r="J829" s="1126"/>
      <c r="K829" s="1126"/>
      <c r="L829" s="1126"/>
      <c r="M829" s="1126"/>
      <c r="N829" s="1126"/>
      <c r="O829" s="1126"/>
      <c r="P829" s="1126"/>
      <c r="Q829" s="1126"/>
      <c r="R829" s="1126"/>
      <c r="S829" s="1126"/>
      <c r="T829" s="1126"/>
      <c r="U829" s="1126"/>
      <c r="V829" s="1126"/>
      <c r="W829" s="1126"/>
      <c r="X829" s="1126"/>
      <c r="Y829" s="1126"/>
      <c r="Z829" s="1126"/>
      <c r="AA829" s="1126"/>
      <c r="AB829" s="1126"/>
    </row>
    <row r="830" ht="15.75" customHeight="1">
      <c r="B830" s="1126"/>
      <c r="C830" s="1126"/>
      <c r="D830" s="1126"/>
      <c r="E830" s="1126"/>
      <c r="F830" s="1126"/>
      <c r="G830" s="1126"/>
      <c r="H830" s="1126"/>
      <c r="I830" s="1126"/>
      <c r="J830" s="1126"/>
      <c r="K830" s="1126"/>
      <c r="L830" s="1126"/>
      <c r="M830" s="1126"/>
      <c r="N830" s="1126"/>
      <c r="O830" s="1126"/>
      <c r="P830" s="1126"/>
      <c r="Q830" s="1126"/>
      <c r="R830" s="1126"/>
      <c r="S830" s="1126"/>
      <c r="T830" s="1126"/>
      <c r="U830" s="1126"/>
      <c r="V830" s="1126"/>
      <c r="W830" s="1126"/>
      <c r="X830" s="1126"/>
      <c r="Y830" s="1126"/>
      <c r="Z830" s="1126"/>
      <c r="AA830" s="1126"/>
      <c r="AB830" s="1126"/>
    </row>
    <row r="831" ht="15.75" customHeight="1">
      <c r="B831" s="1126"/>
      <c r="C831" s="1126"/>
      <c r="D831" s="1126"/>
      <c r="E831" s="1126"/>
      <c r="F831" s="1126"/>
      <c r="G831" s="1126"/>
      <c r="H831" s="1126"/>
      <c r="I831" s="1126"/>
      <c r="J831" s="1126"/>
      <c r="K831" s="1126"/>
      <c r="L831" s="1126"/>
      <c r="M831" s="1126"/>
      <c r="N831" s="1126"/>
      <c r="O831" s="1126"/>
      <c r="P831" s="1126"/>
      <c r="Q831" s="1126"/>
      <c r="R831" s="1126"/>
      <c r="S831" s="1126"/>
      <c r="T831" s="1126"/>
      <c r="U831" s="1126"/>
      <c r="V831" s="1126"/>
      <c r="W831" s="1126"/>
      <c r="X831" s="1126"/>
      <c r="Y831" s="1126"/>
      <c r="Z831" s="1126"/>
      <c r="AA831" s="1126"/>
      <c r="AB831" s="1126"/>
    </row>
    <row r="832" ht="15.75" customHeight="1">
      <c r="B832" s="1126"/>
      <c r="C832" s="1126"/>
      <c r="D832" s="1126"/>
      <c r="E832" s="1126"/>
      <c r="F832" s="1126"/>
      <c r="G832" s="1126"/>
      <c r="H832" s="1126"/>
      <c r="I832" s="1126"/>
      <c r="J832" s="1126"/>
      <c r="K832" s="1126"/>
      <c r="L832" s="1126"/>
      <c r="M832" s="1126"/>
      <c r="N832" s="1126"/>
      <c r="O832" s="1126"/>
      <c r="P832" s="1126"/>
      <c r="Q832" s="1126"/>
      <c r="R832" s="1126"/>
      <c r="S832" s="1126"/>
      <c r="T832" s="1126"/>
      <c r="U832" s="1126"/>
      <c r="V832" s="1126"/>
      <c r="W832" s="1126"/>
      <c r="X832" s="1126"/>
      <c r="Y832" s="1126"/>
      <c r="Z832" s="1126"/>
      <c r="AA832" s="1126"/>
      <c r="AB832" s="1126"/>
    </row>
    <row r="833" ht="15.75" customHeight="1">
      <c r="B833" s="1126"/>
      <c r="C833" s="1126"/>
      <c r="D833" s="1126"/>
      <c r="E833" s="1126"/>
      <c r="F833" s="1126"/>
      <c r="G833" s="1126"/>
      <c r="H833" s="1126"/>
      <c r="I833" s="1126"/>
      <c r="J833" s="1126"/>
      <c r="K833" s="1126"/>
      <c r="L833" s="1126"/>
      <c r="M833" s="1126"/>
      <c r="N833" s="1126"/>
      <c r="O833" s="1126"/>
      <c r="P833" s="1126"/>
      <c r="Q833" s="1126"/>
      <c r="R833" s="1126"/>
      <c r="S833" s="1126"/>
      <c r="T833" s="1126"/>
      <c r="U833" s="1126"/>
      <c r="V833" s="1126"/>
      <c r="W833" s="1126"/>
      <c r="X833" s="1126"/>
      <c r="Y833" s="1126"/>
      <c r="Z833" s="1126"/>
      <c r="AA833" s="1126"/>
      <c r="AB833" s="1126"/>
    </row>
    <row r="834" ht="15.75" customHeight="1">
      <c r="B834" s="1126"/>
      <c r="C834" s="1126"/>
      <c r="D834" s="1126"/>
      <c r="E834" s="1126"/>
      <c r="F834" s="1126"/>
      <c r="G834" s="1126"/>
      <c r="H834" s="1126"/>
      <c r="I834" s="1126"/>
      <c r="J834" s="1126"/>
      <c r="K834" s="1126"/>
      <c r="L834" s="1126"/>
      <c r="M834" s="1126"/>
      <c r="N834" s="1126"/>
      <c r="O834" s="1126"/>
      <c r="P834" s="1126"/>
      <c r="Q834" s="1126"/>
      <c r="R834" s="1126"/>
      <c r="S834" s="1126"/>
      <c r="T834" s="1126"/>
      <c r="U834" s="1126"/>
      <c r="V834" s="1126"/>
      <c r="W834" s="1126"/>
      <c r="X834" s="1126"/>
      <c r="Y834" s="1126"/>
      <c r="Z834" s="1126"/>
      <c r="AA834" s="1126"/>
      <c r="AB834" s="1126"/>
    </row>
    <row r="835" ht="15.75" customHeight="1">
      <c r="B835" s="1126"/>
      <c r="C835" s="1126"/>
      <c r="D835" s="1126"/>
      <c r="E835" s="1126"/>
      <c r="F835" s="1126"/>
      <c r="G835" s="1126"/>
      <c r="H835" s="1126"/>
      <c r="I835" s="1126"/>
      <c r="J835" s="1126"/>
      <c r="K835" s="1126"/>
      <c r="L835" s="1126"/>
      <c r="M835" s="1126"/>
      <c r="N835" s="1126"/>
      <c r="O835" s="1126"/>
      <c r="P835" s="1126"/>
      <c r="Q835" s="1126"/>
      <c r="R835" s="1126"/>
      <c r="S835" s="1126"/>
      <c r="T835" s="1126"/>
      <c r="U835" s="1126"/>
      <c r="V835" s="1126"/>
      <c r="W835" s="1126"/>
      <c r="X835" s="1126"/>
      <c r="Y835" s="1126"/>
      <c r="Z835" s="1126"/>
      <c r="AA835" s="1126"/>
      <c r="AB835" s="1126"/>
    </row>
    <row r="836" ht="15.75" customHeight="1">
      <c r="B836" s="1126"/>
      <c r="C836" s="1126"/>
      <c r="D836" s="1126"/>
      <c r="E836" s="1126"/>
      <c r="F836" s="1126"/>
      <c r="G836" s="1126"/>
      <c r="H836" s="1126"/>
      <c r="I836" s="1126"/>
      <c r="J836" s="1126"/>
      <c r="K836" s="1126"/>
      <c r="L836" s="1126"/>
      <c r="M836" s="1126"/>
      <c r="N836" s="1126"/>
      <c r="O836" s="1126"/>
      <c r="P836" s="1126"/>
      <c r="Q836" s="1126"/>
      <c r="R836" s="1126"/>
      <c r="S836" s="1126"/>
      <c r="T836" s="1126"/>
      <c r="U836" s="1126"/>
      <c r="V836" s="1126"/>
      <c r="W836" s="1126"/>
      <c r="X836" s="1126"/>
      <c r="Y836" s="1126"/>
      <c r="Z836" s="1126"/>
      <c r="AA836" s="1126"/>
      <c r="AB836" s="1126"/>
    </row>
    <row r="837" ht="15.75" customHeight="1">
      <c r="B837" s="1126"/>
      <c r="C837" s="1126"/>
      <c r="D837" s="1126"/>
      <c r="E837" s="1126"/>
      <c r="F837" s="1126"/>
      <c r="G837" s="1126"/>
      <c r="H837" s="1126"/>
      <c r="I837" s="1126"/>
      <c r="J837" s="1126"/>
      <c r="K837" s="1126"/>
      <c r="L837" s="1126"/>
      <c r="M837" s="1126"/>
      <c r="N837" s="1126"/>
      <c r="O837" s="1126"/>
      <c r="P837" s="1126"/>
      <c r="Q837" s="1126"/>
      <c r="R837" s="1126"/>
      <c r="S837" s="1126"/>
      <c r="T837" s="1126"/>
      <c r="U837" s="1126"/>
      <c r="V837" s="1126"/>
      <c r="W837" s="1126"/>
      <c r="X837" s="1126"/>
      <c r="Y837" s="1126"/>
      <c r="Z837" s="1126"/>
      <c r="AA837" s="1126"/>
      <c r="AB837" s="1126"/>
    </row>
    <row r="838" ht="15.75" customHeight="1">
      <c r="B838" s="1126"/>
      <c r="C838" s="1126"/>
      <c r="D838" s="1126"/>
      <c r="E838" s="1126"/>
      <c r="F838" s="1126"/>
      <c r="G838" s="1126"/>
      <c r="H838" s="1126"/>
      <c r="I838" s="1126"/>
      <c r="J838" s="1126"/>
      <c r="K838" s="1126"/>
      <c r="L838" s="1126"/>
      <c r="M838" s="1126"/>
      <c r="N838" s="1126"/>
      <c r="O838" s="1126"/>
      <c r="P838" s="1126"/>
      <c r="Q838" s="1126"/>
      <c r="R838" s="1126"/>
      <c r="S838" s="1126"/>
      <c r="T838" s="1126"/>
      <c r="U838" s="1126"/>
      <c r="V838" s="1126"/>
      <c r="W838" s="1126"/>
      <c r="X838" s="1126"/>
      <c r="Y838" s="1126"/>
      <c r="Z838" s="1126"/>
      <c r="AA838" s="1126"/>
      <c r="AB838" s="1126"/>
    </row>
    <row r="839" ht="15.75" customHeight="1">
      <c r="B839" s="1126"/>
      <c r="C839" s="1126"/>
      <c r="D839" s="1126"/>
      <c r="E839" s="1126"/>
      <c r="F839" s="1126"/>
      <c r="G839" s="1126"/>
      <c r="H839" s="1126"/>
      <c r="I839" s="1126"/>
      <c r="J839" s="1126"/>
      <c r="K839" s="1126"/>
      <c r="L839" s="1126"/>
      <c r="M839" s="1126"/>
      <c r="N839" s="1126"/>
      <c r="O839" s="1126"/>
      <c r="P839" s="1126"/>
      <c r="Q839" s="1126"/>
      <c r="R839" s="1126"/>
      <c r="S839" s="1126"/>
      <c r="T839" s="1126"/>
      <c r="U839" s="1126"/>
      <c r="V839" s="1126"/>
      <c r="W839" s="1126"/>
      <c r="X839" s="1126"/>
      <c r="Y839" s="1126"/>
      <c r="Z839" s="1126"/>
      <c r="AA839" s="1126"/>
      <c r="AB839" s="1126"/>
    </row>
    <row r="840" ht="15.75" customHeight="1">
      <c r="B840" s="1126"/>
      <c r="C840" s="1126"/>
      <c r="D840" s="1126"/>
      <c r="E840" s="1126"/>
      <c r="F840" s="1126"/>
      <c r="G840" s="1126"/>
      <c r="H840" s="1126"/>
      <c r="I840" s="1126"/>
      <c r="J840" s="1126"/>
      <c r="K840" s="1126"/>
      <c r="L840" s="1126"/>
      <c r="M840" s="1126"/>
      <c r="N840" s="1126"/>
      <c r="O840" s="1126"/>
      <c r="P840" s="1126"/>
      <c r="Q840" s="1126"/>
      <c r="R840" s="1126"/>
      <c r="S840" s="1126"/>
      <c r="T840" s="1126"/>
      <c r="U840" s="1126"/>
      <c r="V840" s="1126"/>
      <c r="W840" s="1126"/>
      <c r="X840" s="1126"/>
      <c r="Y840" s="1126"/>
      <c r="Z840" s="1126"/>
      <c r="AA840" s="1126"/>
      <c r="AB840" s="1126"/>
    </row>
    <row r="841" ht="15.75" customHeight="1">
      <c r="B841" s="1126"/>
      <c r="C841" s="1126"/>
      <c r="D841" s="1126"/>
      <c r="E841" s="1126"/>
      <c r="F841" s="1126"/>
      <c r="G841" s="1126"/>
      <c r="H841" s="1126"/>
      <c r="I841" s="1126"/>
      <c r="J841" s="1126"/>
      <c r="K841" s="1126"/>
      <c r="L841" s="1126"/>
      <c r="M841" s="1126"/>
      <c r="N841" s="1126"/>
      <c r="O841" s="1126"/>
      <c r="P841" s="1126"/>
      <c r="Q841" s="1126"/>
      <c r="R841" s="1126"/>
      <c r="S841" s="1126"/>
      <c r="T841" s="1126"/>
      <c r="U841" s="1126"/>
      <c r="V841" s="1126"/>
      <c r="W841" s="1126"/>
      <c r="X841" s="1126"/>
      <c r="Y841" s="1126"/>
      <c r="Z841" s="1126"/>
      <c r="AA841" s="1126"/>
      <c r="AB841" s="1126"/>
    </row>
    <row r="842" ht="15.75" customHeight="1">
      <c r="B842" s="1126"/>
      <c r="C842" s="1126"/>
      <c r="D842" s="1126"/>
      <c r="E842" s="1126"/>
      <c r="F842" s="1126"/>
      <c r="G842" s="1126"/>
      <c r="H842" s="1126"/>
      <c r="I842" s="1126"/>
      <c r="J842" s="1126"/>
      <c r="K842" s="1126"/>
      <c r="L842" s="1126"/>
      <c r="M842" s="1126"/>
      <c r="N842" s="1126"/>
      <c r="O842" s="1126"/>
      <c r="P842" s="1126"/>
      <c r="Q842" s="1126"/>
      <c r="R842" s="1126"/>
      <c r="S842" s="1126"/>
      <c r="T842" s="1126"/>
      <c r="U842" s="1126"/>
      <c r="V842" s="1126"/>
      <c r="W842" s="1126"/>
      <c r="X842" s="1126"/>
      <c r="Y842" s="1126"/>
      <c r="Z842" s="1126"/>
      <c r="AA842" s="1126"/>
      <c r="AB842" s="1126"/>
    </row>
    <row r="843" ht="15.75" customHeight="1">
      <c r="B843" s="1126"/>
      <c r="C843" s="1126"/>
      <c r="D843" s="1126"/>
      <c r="E843" s="1126"/>
      <c r="F843" s="1126"/>
      <c r="G843" s="1126"/>
      <c r="H843" s="1126"/>
      <c r="I843" s="1126"/>
      <c r="J843" s="1126"/>
      <c r="K843" s="1126"/>
      <c r="L843" s="1126"/>
      <c r="M843" s="1126"/>
      <c r="N843" s="1126"/>
      <c r="O843" s="1126"/>
      <c r="P843" s="1126"/>
      <c r="Q843" s="1126"/>
      <c r="R843" s="1126"/>
      <c r="S843" s="1126"/>
      <c r="T843" s="1126"/>
      <c r="U843" s="1126"/>
      <c r="V843" s="1126"/>
      <c r="W843" s="1126"/>
      <c r="X843" s="1126"/>
      <c r="Y843" s="1126"/>
      <c r="Z843" s="1126"/>
      <c r="AA843" s="1126"/>
      <c r="AB843" s="1126"/>
    </row>
    <row r="844" ht="15.75" customHeight="1">
      <c r="B844" s="1126"/>
      <c r="C844" s="1126"/>
      <c r="D844" s="1126"/>
      <c r="E844" s="1126"/>
      <c r="F844" s="1126"/>
      <c r="G844" s="1126"/>
      <c r="H844" s="1126"/>
      <c r="I844" s="1126"/>
      <c r="J844" s="1126"/>
      <c r="K844" s="1126"/>
      <c r="L844" s="1126"/>
      <c r="M844" s="1126"/>
      <c r="N844" s="1126"/>
      <c r="O844" s="1126"/>
      <c r="P844" s="1126"/>
      <c r="Q844" s="1126"/>
      <c r="R844" s="1126"/>
      <c r="S844" s="1126"/>
      <c r="T844" s="1126"/>
      <c r="U844" s="1126"/>
      <c r="V844" s="1126"/>
      <c r="W844" s="1126"/>
      <c r="X844" s="1126"/>
      <c r="Y844" s="1126"/>
      <c r="Z844" s="1126"/>
      <c r="AA844" s="1126"/>
      <c r="AB844" s="1126"/>
    </row>
    <row r="845" ht="15.75" customHeight="1">
      <c r="B845" s="1126"/>
      <c r="C845" s="1126"/>
      <c r="D845" s="1126"/>
      <c r="E845" s="1126"/>
      <c r="F845" s="1126"/>
      <c r="G845" s="1126"/>
      <c r="H845" s="1126"/>
      <c r="I845" s="1126"/>
      <c r="J845" s="1126"/>
      <c r="K845" s="1126"/>
      <c r="L845" s="1126"/>
      <c r="M845" s="1126"/>
      <c r="N845" s="1126"/>
      <c r="O845" s="1126"/>
      <c r="P845" s="1126"/>
      <c r="Q845" s="1126"/>
      <c r="R845" s="1126"/>
      <c r="S845" s="1126"/>
      <c r="T845" s="1126"/>
      <c r="U845" s="1126"/>
      <c r="V845" s="1126"/>
      <c r="W845" s="1126"/>
      <c r="X845" s="1126"/>
      <c r="Y845" s="1126"/>
      <c r="Z845" s="1126"/>
      <c r="AA845" s="1126"/>
      <c r="AB845" s="1126"/>
    </row>
    <row r="846" ht="15.75" customHeight="1">
      <c r="B846" s="1126"/>
      <c r="C846" s="1126"/>
      <c r="D846" s="1126"/>
      <c r="E846" s="1126"/>
      <c r="F846" s="1126"/>
      <c r="G846" s="1126"/>
      <c r="H846" s="1126"/>
      <c r="I846" s="1126"/>
      <c r="J846" s="1126"/>
      <c r="K846" s="1126"/>
      <c r="L846" s="1126"/>
      <c r="M846" s="1126"/>
      <c r="N846" s="1126"/>
      <c r="O846" s="1126"/>
      <c r="P846" s="1126"/>
      <c r="Q846" s="1126"/>
      <c r="R846" s="1126"/>
      <c r="S846" s="1126"/>
      <c r="T846" s="1126"/>
      <c r="U846" s="1126"/>
      <c r="V846" s="1126"/>
      <c r="W846" s="1126"/>
      <c r="X846" s="1126"/>
      <c r="Y846" s="1126"/>
      <c r="Z846" s="1126"/>
      <c r="AA846" s="1126"/>
      <c r="AB846" s="1126"/>
    </row>
    <row r="847" ht="15.75" customHeight="1">
      <c r="B847" s="1126"/>
      <c r="C847" s="1126"/>
      <c r="D847" s="1126"/>
      <c r="E847" s="1126"/>
      <c r="F847" s="1126"/>
      <c r="G847" s="1126"/>
      <c r="H847" s="1126"/>
      <c r="I847" s="1126"/>
      <c r="J847" s="1126"/>
      <c r="K847" s="1126"/>
      <c r="L847" s="1126"/>
      <c r="M847" s="1126"/>
      <c r="N847" s="1126"/>
      <c r="O847" s="1126"/>
      <c r="P847" s="1126"/>
      <c r="Q847" s="1126"/>
      <c r="R847" s="1126"/>
      <c r="S847" s="1126"/>
      <c r="T847" s="1126"/>
      <c r="U847" s="1126"/>
      <c r="V847" s="1126"/>
      <c r="W847" s="1126"/>
      <c r="X847" s="1126"/>
      <c r="Y847" s="1126"/>
      <c r="Z847" s="1126"/>
      <c r="AA847" s="1126"/>
      <c r="AB847" s="1126"/>
    </row>
    <row r="848" ht="15.75" customHeight="1">
      <c r="B848" s="1126"/>
      <c r="C848" s="1126"/>
      <c r="D848" s="1126"/>
      <c r="E848" s="1126"/>
      <c r="F848" s="1126"/>
      <c r="G848" s="1126"/>
      <c r="H848" s="1126"/>
      <c r="I848" s="1126"/>
      <c r="J848" s="1126"/>
      <c r="K848" s="1126"/>
      <c r="L848" s="1126"/>
      <c r="M848" s="1126"/>
      <c r="N848" s="1126"/>
      <c r="O848" s="1126"/>
      <c r="P848" s="1126"/>
      <c r="Q848" s="1126"/>
      <c r="R848" s="1126"/>
      <c r="S848" s="1126"/>
      <c r="T848" s="1126"/>
      <c r="U848" s="1126"/>
      <c r="V848" s="1126"/>
      <c r="W848" s="1126"/>
      <c r="X848" s="1126"/>
      <c r="Y848" s="1126"/>
      <c r="Z848" s="1126"/>
      <c r="AA848" s="1126"/>
      <c r="AB848" s="1126"/>
    </row>
    <row r="849" ht="15.75" customHeight="1">
      <c r="B849" s="1126"/>
      <c r="C849" s="1126"/>
      <c r="D849" s="1126"/>
      <c r="E849" s="1126"/>
      <c r="F849" s="1126"/>
      <c r="G849" s="1126"/>
      <c r="H849" s="1126"/>
      <c r="I849" s="1126"/>
      <c r="J849" s="1126"/>
      <c r="K849" s="1126"/>
      <c r="L849" s="1126"/>
      <c r="M849" s="1126"/>
      <c r="N849" s="1126"/>
      <c r="O849" s="1126"/>
      <c r="P849" s="1126"/>
      <c r="Q849" s="1126"/>
      <c r="R849" s="1126"/>
      <c r="S849" s="1126"/>
      <c r="T849" s="1126"/>
      <c r="U849" s="1126"/>
      <c r="V849" s="1126"/>
      <c r="W849" s="1126"/>
      <c r="X849" s="1126"/>
      <c r="Y849" s="1126"/>
      <c r="Z849" s="1126"/>
      <c r="AA849" s="1126"/>
      <c r="AB849" s="1126"/>
    </row>
    <row r="850" ht="15.75" customHeight="1">
      <c r="B850" s="1126"/>
      <c r="C850" s="1126"/>
      <c r="D850" s="1126"/>
      <c r="E850" s="1126"/>
      <c r="F850" s="1126"/>
      <c r="G850" s="1126"/>
      <c r="H850" s="1126"/>
      <c r="I850" s="1126"/>
      <c r="J850" s="1126"/>
      <c r="K850" s="1126"/>
      <c r="L850" s="1126"/>
      <c r="M850" s="1126"/>
      <c r="N850" s="1126"/>
      <c r="O850" s="1126"/>
      <c r="P850" s="1126"/>
      <c r="Q850" s="1126"/>
      <c r="R850" s="1126"/>
      <c r="S850" s="1126"/>
      <c r="T850" s="1126"/>
      <c r="U850" s="1126"/>
      <c r="V850" s="1126"/>
      <c r="W850" s="1126"/>
      <c r="X850" s="1126"/>
      <c r="Y850" s="1126"/>
      <c r="Z850" s="1126"/>
      <c r="AA850" s="1126"/>
      <c r="AB850" s="1126"/>
    </row>
    <row r="851" ht="15.75" customHeight="1">
      <c r="B851" s="1126"/>
      <c r="C851" s="1126"/>
      <c r="D851" s="1126"/>
      <c r="E851" s="1126"/>
      <c r="F851" s="1126"/>
      <c r="G851" s="1126"/>
      <c r="H851" s="1126"/>
      <c r="I851" s="1126"/>
      <c r="J851" s="1126"/>
      <c r="K851" s="1126"/>
      <c r="L851" s="1126"/>
      <c r="M851" s="1126"/>
      <c r="N851" s="1126"/>
      <c r="O851" s="1126"/>
      <c r="P851" s="1126"/>
      <c r="Q851" s="1126"/>
      <c r="R851" s="1126"/>
      <c r="S851" s="1126"/>
      <c r="T851" s="1126"/>
      <c r="U851" s="1126"/>
      <c r="V851" s="1126"/>
      <c r="W851" s="1126"/>
      <c r="X851" s="1126"/>
      <c r="Y851" s="1126"/>
      <c r="Z851" s="1126"/>
      <c r="AA851" s="1126"/>
      <c r="AB851" s="1126"/>
    </row>
    <row r="852" ht="15.75" customHeight="1">
      <c r="B852" s="1126"/>
      <c r="C852" s="1126"/>
      <c r="D852" s="1126"/>
      <c r="E852" s="1126"/>
      <c r="F852" s="1126"/>
      <c r="G852" s="1126"/>
      <c r="H852" s="1126"/>
      <c r="I852" s="1126"/>
      <c r="J852" s="1126"/>
      <c r="K852" s="1126"/>
      <c r="L852" s="1126"/>
      <c r="M852" s="1126"/>
      <c r="N852" s="1126"/>
      <c r="O852" s="1126"/>
      <c r="P852" s="1126"/>
      <c r="Q852" s="1126"/>
      <c r="R852" s="1126"/>
      <c r="S852" s="1126"/>
      <c r="T852" s="1126"/>
      <c r="U852" s="1126"/>
      <c r="V852" s="1126"/>
      <c r="W852" s="1126"/>
      <c r="X852" s="1126"/>
      <c r="Y852" s="1126"/>
      <c r="Z852" s="1126"/>
      <c r="AA852" s="1126"/>
      <c r="AB852" s="1126"/>
    </row>
    <row r="853" ht="15.75" customHeight="1">
      <c r="B853" s="1126"/>
      <c r="C853" s="1126"/>
      <c r="D853" s="1126"/>
      <c r="E853" s="1126"/>
      <c r="F853" s="1126"/>
      <c r="G853" s="1126"/>
      <c r="H853" s="1126"/>
      <c r="I853" s="1126"/>
      <c r="J853" s="1126"/>
      <c r="K853" s="1126"/>
      <c r="L853" s="1126"/>
      <c r="M853" s="1126"/>
      <c r="N853" s="1126"/>
      <c r="O853" s="1126"/>
      <c r="P853" s="1126"/>
      <c r="Q853" s="1126"/>
      <c r="R853" s="1126"/>
      <c r="S853" s="1126"/>
      <c r="T853" s="1126"/>
      <c r="U853" s="1126"/>
      <c r="V853" s="1126"/>
      <c r="W853" s="1126"/>
      <c r="X853" s="1126"/>
      <c r="Y853" s="1126"/>
      <c r="Z853" s="1126"/>
      <c r="AA853" s="1126"/>
      <c r="AB853" s="1126"/>
    </row>
    <row r="854" ht="15.75" customHeight="1">
      <c r="B854" s="1126"/>
      <c r="C854" s="1126"/>
      <c r="D854" s="1126"/>
      <c r="E854" s="1126"/>
      <c r="F854" s="1126"/>
      <c r="G854" s="1126"/>
      <c r="H854" s="1126"/>
      <c r="I854" s="1126"/>
      <c r="J854" s="1126"/>
      <c r="K854" s="1126"/>
      <c r="L854" s="1126"/>
      <c r="M854" s="1126"/>
      <c r="N854" s="1126"/>
      <c r="O854" s="1126"/>
      <c r="P854" s="1126"/>
      <c r="Q854" s="1126"/>
      <c r="R854" s="1126"/>
      <c r="S854" s="1126"/>
      <c r="T854" s="1126"/>
      <c r="U854" s="1126"/>
      <c r="V854" s="1126"/>
      <c r="W854" s="1126"/>
      <c r="X854" s="1126"/>
      <c r="Y854" s="1126"/>
      <c r="Z854" s="1126"/>
      <c r="AA854" s="1126"/>
      <c r="AB854" s="1126"/>
    </row>
    <row r="855" ht="15.75" customHeight="1">
      <c r="B855" s="1126"/>
      <c r="C855" s="1126"/>
      <c r="D855" s="1126"/>
      <c r="E855" s="1126"/>
      <c r="F855" s="1126"/>
      <c r="G855" s="1126"/>
      <c r="H855" s="1126"/>
      <c r="I855" s="1126"/>
      <c r="J855" s="1126"/>
      <c r="K855" s="1126"/>
      <c r="L855" s="1126"/>
      <c r="M855" s="1126"/>
      <c r="N855" s="1126"/>
      <c r="O855" s="1126"/>
      <c r="P855" s="1126"/>
      <c r="Q855" s="1126"/>
      <c r="R855" s="1126"/>
      <c r="S855" s="1126"/>
      <c r="T855" s="1126"/>
      <c r="U855" s="1126"/>
      <c r="V855" s="1126"/>
      <c r="W855" s="1126"/>
      <c r="X855" s="1126"/>
      <c r="Y855" s="1126"/>
      <c r="Z855" s="1126"/>
      <c r="AA855" s="1126"/>
      <c r="AB855" s="1126"/>
    </row>
    <row r="856" ht="15.75" customHeight="1">
      <c r="B856" s="1126"/>
      <c r="C856" s="1126"/>
      <c r="D856" s="1126"/>
      <c r="E856" s="1126"/>
      <c r="F856" s="1126"/>
      <c r="G856" s="1126"/>
      <c r="H856" s="1126"/>
      <c r="I856" s="1126"/>
      <c r="J856" s="1126"/>
      <c r="K856" s="1126"/>
      <c r="L856" s="1126"/>
      <c r="M856" s="1126"/>
      <c r="N856" s="1126"/>
      <c r="O856" s="1126"/>
      <c r="P856" s="1126"/>
      <c r="Q856" s="1126"/>
      <c r="R856" s="1126"/>
      <c r="S856" s="1126"/>
      <c r="T856" s="1126"/>
      <c r="U856" s="1126"/>
      <c r="V856" s="1126"/>
      <c r="W856" s="1126"/>
      <c r="X856" s="1126"/>
      <c r="Y856" s="1126"/>
      <c r="Z856" s="1126"/>
      <c r="AA856" s="1126"/>
      <c r="AB856" s="1126"/>
    </row>
    <row r="857" ht="15.75" customHeight="1">
      <c r="B857" s="1126"/>
      <c r="C857" s="1126"/>
      <c r="D857" s="1126"/>
      <c r="E857" s="1126"/>
      <c r="F857" s="1126"/>
      <c r="G857" s="1126"/>
      <c r="H857" s="1126"/>
      <c r="I857" s="1126"/>
      <c r="J857" s="1126"/>
      <c r="K857" s="1126"/>
      <c r="L857" s="1126"/>
      <c r="M857" s="1126"/>
      <c r="N857" s="1126"/>
      <c r="O857" s="1126"/>
      <c r="P857" s="1126"/>
      <c r="Q857" s="1126"/>
      <c r="R857" s="1126"/>
      <c r="S857" s="1126"/>
      <c r="T857" s="1126"/>
      <c r="U857" s="1126"/>
      <c r="V857" s="1126"/>
      <c r="W857" s="1126"/>
      <c r="X857" s="1126"/>
      <c r="Y857" s="1126"/>
      <c r="Z857" s="1126"/>
      <c r="AA857" s="1126"/>
      <c r="AB857" s="1126"/>
    </row>
    <row r="858" ht="15.75" customHeight="1">
      <c r="B858" s="1126"/>
      <c r="C858" s="1126"/>
      <c r="D858" s="1126"/>
      <c r="E858" s="1126"/>
      <c r="F858" s="1126"/>
      <c r="G858" s="1126"/>
      <c r="H858" s="1126"/>
      <c r="I858" s="1126"/>
      <c r="J858" s="1126"/>
      <c r="K858" s="1126"/>
      <c r="L858" s="1126"/>
      <c r="M858" s="1126"/>
      <c r="N858" s="1126"/>
      <c r="O858" s="1126"/>
      <c r="P858" s="1126"/>
      <c r="Q858" s="1126"/>
      <c r="R858" s="1126"/>
      <c r="S858" s="1126"/>
      <c r="T858" s="1126"/>
      <c r="U858" s="1126"/>
      <c r="V858" s="1126"/>
      <c r="W858" s="1126"/>
      <c r="X858" s="1126"/>
      <c r="Y858" s="1126"/>
      <c r="Z858" s="1126"/>
      <c r="AA858" s="1126"/>
      <c r="AB858" s="1126"/>
    </row>
    <row r="859" ht="15.75" customHeight="1">
      <c r="B859" s="1126"/>
      <c r="C859" s="1126"/>
      <c r="D859" s="1126"/>
      <c r="E859" s="1126"/>
      <c r="F859" s="1126"/>
      <c r="G859" s="1126"/>
      <c r="H859" s="1126"/>
      <c r="I859" s="1126"/>
      <c r="J859" s="1126"/>
      <c r="K859" s="1126"/>
      <c r="L859" s="1126"/>
      <c r="M859" s="1126"/>
      <c r="N859" s="1126"/>
      <c r="O859" s="1126"/>
      <c r="P859" s="1126"/>
      <c r="Q859" s="1126"/>
      <c r="R859" s="1126"/>
      <c r="S859" s="1126"/>
      <c r="T859" s="1126"/>
      <c r="U859" s="1126"/>
      <c r="V859" s="1126"/>
      <c r="W859" s="1126"/>
      <c r="X859" s="1126"/>
      <c r="Y859" s="1126"/>
      <c r="Z859" s="1126"/>
      <c r="AA859" s="1126"/>
      <c r="AB859" s="1126"/>
    </row>
    <row r="860" ht="15.75" customHeight="1">
      <c r="B860" s="1126"/>
      <c r="C860" s="1126"/>
      <c r="D860" s="1126"/>
      <c r="E860" s="1126"/>
      <c r="F860" s="1126"/>
      <c r="G860" s="1126"/>
      <c r="H860" s="1126"/>
      <c r="I860" s="1126"/>
      <c r="J860" s="1126"/>
      <c r="K860" s="1126"/>
      <c r="L860" s="1126"/>
      <c r="M860" s="1126"/>
      <c r="N860" s="1126"/>
      <c r="O860" s="1126"/>
      <c r="P860" s="1126"/>
      <c r="Q860" s="1126"/>
      <c r="R860" s="1126"/>
      <c r="S860" s="1126"/>
      <c r="T860" s="1126"/>
      <c r="U860" s="1126"/>
      <c r="V860" s="1126"/>
      <c r="W860" s="1126"/>
      <c r="X860" s="1126"/>
      <c r="Y860" s="1126"/>
      <c r="Z860" s="1126"/>
      <c r="AA860" s="1126"/>
      <c r="AB860" s="1126"/>
    </row>
    <row r="861" ht="15.75" customHeight="1">
      <c r="B861" s="1126"/>
      <c r="C861" s="1126"/>
      <c r="D861" s="1126"/>
      <c r="E861" s="1126"/>
      <c r="F861" s="1126"/>
      <c r="G861" s="1126"/>
      <c r="H861" s="1126"/>
      <c r="I861" s="1126"/>
      <c r="J861" s="1126"/>
      <c r="K861" s="1126"/>
      <c r="L861" s="1126"/>
      <c r="M861" s="1126"/>
      <c r="N861" s="1126"/>
      <c r="O861" s="1126"/>
      <c r="P861" s="1126"/>
      <c r="Q861" s="1126"/>
      <c r="R861" s="1126"/>
      <c r="S861" s="1126"/>
      <c r="T861" s="1126"/>
      <c r="U861" s="1126"/>
      <c r="V861" s="1126"/>
      <c r="W861" s="1126"/>
      <c r="X861" s="1126"/>
      <c r="Y861" s="1126"/>
      <c r="Z861" s="1126"/>
      <c r="AA861" s="1126"/>
      <c r="AB861" s="1126"/>
    </row>
    <row r="862" ht="15.75" customHeight="1">
      <c r="B862" s="1126"/>
      <c r="C862" s="1126"/>
      <c r="D862" s="1126"/>
      <c r="E862" s="1126"/>
      <c r="F862" s="1126"/>
      <c r="G862" s="1126"/>
      <c r="H862" s="1126"/>
      <c r="I862" s="1126"/>
      <c r="J862" s="1126"/>
      <c r="K862" s="1126"/>
      <c r="L862" s="1126"/>
      <c r="M862" s="1126"/>
      <c r="N862" s="1126"/>
      <c r="O862" s="1126"/>
      <c r="P862" s="1126"/>
      <c r="Q862" s="1126"/>
      <c r="R862" s="1126"/>
      <c r="S862" s="1126"/>
      <c r="T862" s="1126"/>
      <c r="U862" s="1126"/>
      <c r="V862" s="1126"/>
      <c r="W862" s="1126"/>
      <c r="X862" s="1126"/>
      <c r="Y862" s="1126"/>
      <c r="Z862" s="1126"/>
      <c r="AA862" s="1126"/>
      <c r="AB862" s="1126"/>
    </row>
    <row r="863" ht="15.75" customHeight="1">
      <c r="B863" s="1126"/>
      <c r="C863" s="1126"/>
      <c r="D863" s="1126"/>
      <c r="E863" s="1126"/>
      <c r="F863" s="1126"/>
      <c r="G863" s="1126"/>
      <c r="H863" s="1126"/>
      <c r="I863" s="1126"/>
      <c r="J863" s="1126"/>
      <c r="K863" s="1126"/>
      <c r="L863" s="1126"/>
      <c r="M863" s="1126"/>
      <c r="N863" s="1126"/>
      <c r="O863" s="1126"/>
      <c r="P863" s="1126"/>
      <c r="Q863" s="1126"/>
      <c r="R863" s="1126"/>
      <c r="S863" s="1126"/>
      <c r="T863" s="1126"/>
      <c r="U863" s="1126"/>
      <c r="V863" s="1126"/>
      <c r="W863" s="1126"/>
      <c r="X863" s="1126"/>
      <c r="Y863" s="1126"/>
      <c r="Z863" s="1126"/>
      <c r="AA863" s="1126"/>
      <c r="AB863" s="1126"/>
    </row>
    <row r="864" ht="15.75" customHeight="1">
      <c r="B864" s="1126"/>
      <c r="C864" s="1126"/>
      <c r="D864" s="1126"/>
      <c r="E864" s="1126"/>
      <c r="F864" s="1126"/>
      <c r="G864" s="1126"/>
      <c r="H864" s="1126"/>
      <c r="I864" s="1126"/>
      <c r="J864" s="1126"/>
      <c r="K864" s="1126"/>
      <c r="L864" s="1126"/>
      <c r="M864" s="1126"/>
      <c r="N864" s="1126"/>
      <c r="O864" s="1126"/>
      <c r="P864" s="1126"/>
      <c r="Q864" s="1126"/>
      <c r="R864" s="1126"/>
      <c r="S864" s="1126"/>
      <c r="T864" s="1126"/>
      <c r="U864" s="1126"/>
      <c r="V864" s="1126"/>
      <c r="W864" s="1126"/>
      <c r="X864" s="1126"/>
      <c r="Y864" s="1126"/>
      <c r="Z864" s="1126"/>
      <c r="AA864" s="1126"/>
      <c r="AB864" s="1126"/>
    </row>
    <row r="865" ht="15.75" customHeight="1">
      <c r="B865" s="1126"/>
      <c r="C865" s="1126"/>
      <c r="D865" s="1126"/>
      <c r="E865" s="1126"/>
      <c r="F865" s="1126"/>
      <c r="G865" s="1126"/>
      <c r="H865" s="1126"/>
      <c r="I865" s="1126"/>
      <c r="J865" s="1126"/>
      <c r="K865" s="1126"/>
      <c r="L865" s="1126"/>
      <c r="M865" s="1126"/>
      <c r="N865" s="1126"/>
      <c r="O865" s="1126"/>
      <c r="P865" s="1126"/>
      <c r="Q865" s="1126"/>
      <c r="R865" s="1126"/>
      <c r="S865" s="1126"/>
      <c r="T865" s="1126"/>
      <c r="U865" s="1126"/>
      <c r="V865" s="1126"/>
      <c r="W865" s="1126"/>
      <c r="X865" s="1126"/>
      <c r="Y865" s="1126"/>
      <c r="Z865" s="1126"/>
      <c r="AA865" s="1126"/>
      <c r="AB865" s="1126"/>
    </row>
    <row r="866" ht="15.75" customHeight="1">
      <c r="B866" s="1126"/>
      <c r="C866" s="1126"/>
      <c r="D866" s="1126"/>
      <c r="E866" s="1126"/>
      <c r="F866" s="1126"/>
      <c r="G866" s="1126"/>
      <c r="H866" s="1126"/>
      <c r="I866" s="1126"/>
      <c r="J866" s="1126"/>
      <c r="K866" s="1126"/>
      <c r="L866" s="1126"/>
      <c r="M866" s="1126"/>
      <c r="N866" s="1126"/>
      <c r="O866" s="1126"/>
      <c r="P866" s="1126"/>
      <c r="Q866" s="1126"/>
      <c r="R866" s="1126"/>
      <c r="S866" s="1126"/>
      <c r="T866" s="1126"/>
      <c r="U866" s="1126"/>
      <c r="V866" s="1126"/>
      <c r="W866" s="1126"/>
      <c r="X866" s="1126"/>
      <c r="Y866" s="1126"/>
      <c r="Z866" s="1126"/>
      <c r="AA866" s="1126"/>
      <c r="AB866" s="1126"/>
    </row>
    <row r="867" ht="15.75" customHeight="1">
      <c r="B867" s="1126"/>
      <c r="C867" s="1126"/>
      <c r="D867" s="1126"/>
      <c r="E867" s="1126"/>
      <c r="F867" s="1126"/>
      <c r="G867" s="1126"/>
      <c r="H867" s="1126"/>
      <c r="I867" s="1126"/>
      <c r="J867" s="1126"/>
      <c r="K867" s="1126"/>
      <c r="L867" s="1126"/>
      <c r="M867" s="1126"/>
      <c r="N867" s="1126"/>
      <c r="O867" s="1126"/>
      <c r="P867" s="1126"/>
      <c r="Q867" s="1126"/>
      <c r="R867" s="1126"/>
      <c r="S867" s="1126"/>
      <c r="T867" s="1126"/>
      <c r="U867" s="1126"/>
      <c r="V867" s="1126"/>
      <c r="W867" s="1126"/>
      <c r="X867" s="1126"/>
      <c r="Y867" s="1126"/>
      <c r="Z867" s="1126"/>
      <c r="AA867" s="1126"/>
      <c r="AB867" s="1126"/>
    </row>
    <row r="868" ht="15.75" customHeight="1">
      <c r="B868" s="1126"/>
      <c r="C868" s="1126"/>
      <c r="D868" s="1126"/>
      <c r="E868" s="1126"/>
      <c r="F868" s="1126"/>
      <c r="G868" s="1126"/>
      <c r="H868" s="1126"/>
      <c r="I868" s="1126"/>
      <c r="J868" s="1126"/>
      <c r="K868" s="1126"/>
      <c r="L868" s="1126"/>
      <c r="M868" s="1126"/>
      <c r="N868" s="1126"/>
      <c r="O868" s="1126"/>
      <c r="P868" s="1126"/>
      <c r="Q868" s="1126"/>
      <c r="R868" s="1126"/>
      <c r="S868" s="1126"/>
      <c r="T868" s="1126"/>
      <c r="U868" s="1126"/>
      <c r="V868" s="1126"/>
      <c r="W868" s="1126"/>
      <c r="X868" s="1126"/>
      <c r="Y868" s="1126"/>
      <c r="Z868" s="1126"/>
      <c r="AA868" s="1126"/>
      <c r="AB868" s="1126"/>
    </row>
    <row r="869" ht="15.75" customHeight="1">
      <c r="B869" s="1126"/>
      <c r="C869" s="1126"/>
      <c r="D869" s="1126"/>
      <c r="E869" s="1126"/>
      <c r="F869" s="1126"/>
      <c r="G869" s="1126"/>
      <c r="H869" s="1126"/>
      <c r="I869" s="1126"/>
      <c r="J869" s="1126"/>
      <c r="K869" s="1126"/>
      <c r="L869" s="1126"/>
      <c r="M869" s="1126"/>
      <c r="N869" s="1126"/>
      <c r="O869" s="1126"/>
      <c r="P869" s="1126"/>
      <c r="Q869" s="1126"/>
      <c r="R869" s="1126"/>
      <c r="S869" s="1126"/>
      <c r="T869" s="1126"/>
      <c r="U869" s="1126"/>
      <c r="V869" s="1126"/>
      <c r="W869" s="1126"/>
      <c r="X869" s="1126"/>
      <c r="Y869" s="1126"/>
      <c r="Z869" s="1126"/>
      <c r="AA869" s="1126"/>
      <c r="AB869" s="1126"/>
    </row>
    <row r="870" ht="15.75" customHeight="1">
      <c r="B870" s="1126"/>
      <c r="C870" s="1126"/>
      <c r="D870" s="1126"/>
      <c r="E870" s="1126"/>
      <c r="F870" s="1126"/>
      <c r="G870" s="1126"/>
      <c r="H870" s="1126"/>
      <c r="I870" s="1126"/>
      <c r="J870" s="1126"/>
      <c r="K870" s="1126"/>
      <c r="L870" s="1126"/>
      <c r="M870" s="1126"/>
      <c r="N870" s="1126"/>
      <c r="O870" s="1126"/>
      <c r="P870" s="1126"/>
      <c r="Q870" s="1126"/>
      <c r="R870" s="1126"/>
      <c r="S870" s="1126"/>
      <c r="T870" s="1126"/>
      <c r="U870" s="1126"/>
      <c r="V870" s="1126"/>
      <c r="W870" s="1126"/>
      <c r="X870" s="1126"/>
      <c r="Y870" s="1126"/>
      <c r="Z870" s="1126"/>
      <c r="AA870" s="1126"/>
      <c r="AB870" s="1126"/>
    </row>
    <row r="871" ht="15.75" customHeight="1">
      <c r="B871" s="1126"/>
      <c r="C871" s="1126"/>
      <c r="D871" s="1126"/>
      <c r="E871" s="1126"/>
      <c r="F871" s="1126"/>
      <c r="G871" s="1126"/>
      <c r="H871" s="1126"/>
      <c r="I871" s="1126"/>
      <c r="J871" s="1126"/>
      <c r="K871" s="1126"/>
      <c r="L871" s="1126"/>
      <c r="M871" s="1126"/>
      <c r="N871" s="1126"/>
      <c r="O871" s="1126"/>
      <c r="P871" s="1126"/>
      <c r="Q871" s="1126"/>
      <c r="R871" s="1126"/>
      <c r="S871" s="1126"/>
      <c r="T871" s="1126"/>
      <c r="U871" s="1126"/>
      <c r="V871" s="1126"/>
      <c r="W871" s="1126"/>
      <c r="X871" s="1126"/>
      <c r="Y871" s="1126"/>
      <c r="Z871" s="1126"/>
      <c r="AA871" s="1126"/>
      <c r="AB871" s="1126"/>
    </row>
    <row r="872" ht="15.75" customHeight="1">
      <c r="B872" s="1126"/>
      <c r="C872" s="1126"/>
      <c r="D872" s="1126"/>
      <c r="E872" s="1126"/>
      <c r="F872" s="1126"/>
      <c r="G872" s="1126"/>
      <c r="H872" s="1126"/>
      <c r="I872" s="1126"/>
      <c r="J872" s="1126"/>
      <c r="K872" s="1126"/>
      <c r="L872" s="1126"/>
      <c r="M872" s="1126"/>
      <c r="N872" s="1126"/>
      <c r="O872" s="1126"/>
      <c r="P872" s="1126"/>
      <c r="Q872" s="1126"/>
      <c r="R872" s="1126"/>
      <c r="S872" s="1126"/>
      <c r="T872" s="1126"/>
      <c r="U872" s="1126"/>
      <c r="V872" s="1126"/>
      <c r="W872" s="1126"/>
      <c r="X872" s="1126"/>
      <c r="Y872" s="1126"/>
      <c r="Z872" s="1126"/>
      <c r="AA872" s="1126"/>
      <c r="AB872" s="1126"/>
    </row>
    <row r="873" ht="15.75" customHeight="1">
      <c r="B873" s="1126"/>
      <c r="C873" s="1126"/>
      <c r="D873" s="1126"/>
      <c r="E873" s="1126"/>
      <c r="F873" s="1126"/>
      <c r="G873" s="1126"/>
      <c r="H873" s="1126"/>
      <c r="I873" s="1126"/>
      <c r="J873" s="1126"/>
      <c r="K873" s="1126"/>
      <c r="L873" s="1126"/>
      <c r="M873" s="1126"/>
      <c r="N873" s="1126"/>
      <c r="O873" s="1126"/>
      <c r="P873" s="1126"/>
      <c r="Q873" s="1126"/>
      <c r="R873" s="1126"/>
      <c r="S873" s="1126"/>
      <c r="T873" s="1126"/>
      <c r="U873" s="1126"/>
      <c r="V873" s="1126"/>
      <c r="W873" s="1126"/>
      <c r="X873" s="1126"/>
      <c r="Y873" s="1126"/>
      <c r="Z873" s="1126"/>
      <c r="AA873" s="1126"/>
      <c r="AB873" s="1126"/>
    </row>
    <row r="874" ht="15.75" customHeight="1">
      <c r="B874" s="1126"/>
      <c r="C874" s="1126"/>
      <c r="D874" s="1126"/>
      <c r="E874" s="1126"/>
      <c r="F874" s="1126"/>
      <c r="G874" s="1126"/>
      <c r="H874" s="1126"/>
      <c r="I874" s="1126"/>
      <c r="J874" s="1126"/>
      <c r="K874" s="1126"/>
      <c r="L874" s="1126"/>
      <c r="M874" s="1126"/>
      <c r="N874" s="1126"/>
      <c r="O874" s="1126"/>
      <c r="P874" s="1126"/>
      <c r="Q874" s="1126"/>
      <c r="R874" s="1126"/>
      <c r="S874" s="1126"/>
      <c r="T874" s="1126"/>
      <c r="U874" s="1126"/>
      <c r="V874" s="1126"/>
      <c r="W874" s="1126"/>
      <c r="X874" s="1126"/>
      <c r="Y874" s="1126"/>
      <c r="Z874" s="1126"/>
      <c r="AA874" s="1126"/>
      <c r="AB874" s="1126"/>
    </row>
    <row r="875" ht="15.75" customHeight="1">
      <c r="B875" s="1126"/>
      <c r="C875" s="1126"/>
      <c r="D875" s="1126"/>
      <c r="E875" s="1126"/>
      <c r="F875" s="1126"/>
      <c r="G875" s="1126"/>
      <c r="H875" s="1126"/>
      <c r="I875" s="1126"/>
      <c r="J875" s="1126"/>
      <c r="K875" s="1126"/>
      <c r="L875" s="1126"/>
      <c r="M875" s="1126"/>
      <c r="N875" s="1126"/>
      <c r="O875" s="1126"/>
      <c r="P875" s="1126"/>
      <c r="Q875" s="1126"/>
      <c r="R875" s="1126"/>
      <c r="S875" s="1126"/>
      <c r="T875" s="1126"/>
      <c r="U875" s="1126"/>
      <c r="V875" s="1126"/>
      <c r="W875" s="1126"/>
      <c r="X875" s="1126"/>
      <c r="Y875" s="1126"/>
      <c r="Z875" s="1126"/>
      <c r="AA875" s="1126"/>
      <c r="AB875" s="1126"/>
    </row>
    <row r="876" ht="15.75" customHeight="1">
      <c r="B876" s="1126"/>
      <c r="C876" s="1126"/>
      <c r="D876" s="1126"/>
      <c r="E876" s="1126"/>
      <c r="F876" s="1126"/>
      <c r="G876" s="1126"/>
      <c r="H876" s="1126"/>
      <c r="I876" s="1126"/>
      <c r="J876" s="1126"/>
      <c r="K876" s="1126"/>
      <c r="L876" s="1126"/>
      <c r="M876" s="1126"/>
      <c r="N876" s="1126"/>
      <c r="O876" s="1126"/>
      <c r="P876" s="1126"/>
      <c r="Q876" s="1126"/>
      <c r="R876" s="1126"/>
      <c r="S876" s="1126"/>
      <c r="T876" s="1126"/>
      <c r="U876" s="1126"/>
      <c r="V876" s="1126"/>
      <c r="W876" s="1126"/>
      <c r="X876" s="1126"/>
      <c r="Y876" s="1126"/>
      <c r="Z876" s="1126"/>
      <c r="AA876" s="1126"/>
      <c r="AB876" s="1126"/>
    </row>
    <row r="877" ht="15.75" customHeight="1">
      <c r="B877" s="1126"/>
      <c r="C877" s="1126"/>
      <c r="D877" s="1126"/>
      <c r="E877" s="1126"/>
      <c r="F877" s="1126"/>
      <c r="G877" s="1126"/>
      <c r="H877" s="1126"/>
      <c r="I877" s="1126"/>
      <c r="J877" s="1126"/>
      <c r="K877" s="1126"/>
      <c r="L877" s="1126"/>
      <c r="M877" s="1126"/>
      <c r="N877" s="1126"/>
      <c r="O877" s="1126"/>
      <c r="P877" s="1126"/>
      <c r="Q877" s="1126"/>
      <c r="R877" s="1126"/>
      <c r="S877" s="1126"/>
      <c r="T877" s="1126"/>
      <c r="U877" s="1126"/>
      <c r="V877" s="1126"/>
      <c r="W877" s="1126"/>
      <c r="X877" s="1126"/>
      <c r="Y877" s="1126"/>
      <c r="Z877" s="1126"/>
      <c r="AA877" s="1126"/>
      <c r="AB877" s="1126"/>
    </row>
    <row r="878" ht="15.75" customHeight="1">
      <c r="B878" s="1126"/>
      <c r="C878" s="1126"/>
      <c r="D878" s="1126"/>
      <c r="E878" s="1126"/>
      <c r="F878" s="1126"/>
      <c r="G878" s="1126"/>
      <c r="H878" s="1126"/>
      <c r="I878" s="1126"/>
      <c r="J878" s="1126"/>
      <c r="K878" s="1126"/>
      <c r="L878" s="1126"/>
      <c r="M878" s="1126"/>
      <c r="N878" s="1126"/>
      <c r="O878" s="1126"/>
      <c r="P878" s="1126"/>
      <c r="Q878" s="1126"/>
      <c r="R878" s="1126"/>
      <c r="S878" s="1126"/>
      <c r="T878" s="1126"/>
      <c r="U878" s="1126"/>
      <c r="V878" s="1126"/>
      <c r="W878" s="1126"/>
      <c r="X878" s="1126"/>
      <c r="Y878" s="1126"/>
      <c r="Z878" s="1126"/>
      <c r="AA878" s="1126"/>
      <c r="AB878" s="1126"/>
    </row>
    <row r="879" ht="15.75" customHeight="1">
      <c r="B879" s="1126"/>
      <c r="C879" s="1126"/>
      <c r="D879" s="1126"/>
      <c r="E879" s="1126"/>
      <c r="F879" s="1126"/>
      <c r="G879" s="1126"/>
      <c r="H879" s="1126"/>
      <c r="I879" s="1126"/>
      <c r="J879" s="1126"/>
      <c r="K879" s="1126"/>
      <c r="L879" s="1126"/>
      <c r="M879" s="1126"/>
      <c r="N879" s="1126"/>
      <c r="O879" s="1126"/>
      <c r="P879" s="1126"/>
      <c r="Q879" s="1126"/>
      <c r="R879" s="1126"/>
      <c r="S879" s="1126"/>
      <c r="T879" s="1126"/>
      <c r="U879" s="1126"/>
      <c r="V879" s="1126"/>
      <c r="W879" s="1126"/>
      <c r="X879" s="1126"/>
      <c r="Y879" s="1126"/>
      <c r="Z879" s="1126"/>
      <c r="AA879" s="1126"/>
      <c r="AB879" s="1126"/>
    </row>
    <row r="880" ht="15.75" customHeight="1">
      <c r="B880" s="1126"/>
      <c r="C880" s="1126"/>
      <c r="D880" s="1126"/>
      <c r="E880" s="1126"/>
      <c r="F880" s="1126"/>
      <c r="G880" s="1126"/>
      <c r="H880" s="1126"/>
      <c r="I880" s="1126"/>
      <c r="J880" s="1126"/>
      <c r="K880" s="1126"/>
      <c r="L880" s="1126"/>
      <c r="M880" s="1126"/>
      <c r="N880" s="1126"/>
      <c r="O880" s="1126"/>
      <c r="P880" s="1126"/>
      <c r="Q880" s="1126"/>
      <c r="R880" s="1126"/>
      <c r="S880" s="1126"/>
      <c r="T880" s="1126"/>
      <c r="U880" s="1126"/>
      <c r="V880" s="1126"/>
      <c r="W880" s="1126"/>
      <c r="X880" s="1126"/>
      <c r="Y880" s="1126"/>
      <c r="Z880" s="1126"/>
      <c r="AA880" s="1126"/>
      <c r="AB880" s="1126"/>
    </row>
    <row r="881" ht="15.75" customHeight="1">
      <c r="B881" s="1126"/>
      <c r="C881" s="1126"/>
      <c r="D881" s="1126"/>
      <c r="E881" s="1126"/>
      <c r="F881" s="1126"/>
      <c r="G881" s="1126"/>
      <c r="H881" s="1126"/>
      <c r="I881" s="1126"/>
      <c r="J881" s="1126"/>
      <c r="K881" s="1126"/>
      <c r="L881" s="1126"/>
      <c r="M881" s="1126"/>
      <c r="N881" s="1126"/>
      <c r="O881" s="1126"/>
      <c r="P881" s="1126"/>
      <c r="Q881" s="1126"/>
      <c r="R881" s="1126"/>
      <c r="S881" s="1126"/>
      <c r="T881" s="1126"/>
      <c r="U881" s="1126"/>
      <c r="V881" s="1126"/>
      <c r="W881" s="1126"/>
      <c r="X881" s="1126"/>
      <c r="Y881" s="1126"/>
      <c r="Z881" s="1126"/>
      <c r="AA881" s="1126"/>
      <c r="AB881" s="1126"/>
    </row>
    <row r="882" ht="15.75" customHeight="1">
      <c r="B882" s="1126"/>
      <c r="C882" s="1126"/>
      <c r="D882" s="1126"/>
      <c r="E882" s="1126"/>
      <c r="F882" s="1126"/>
      <c r="G882" s="1126"/>
      <c r="H882" s="1126"/>
      <c r="I882" s="1126"/>
      <c r="J882" s="1126"/>
      <c r="K882" s="1126"/>
      <c r="L882" s="1126"/>
      <c r="M882" s="1126"/>
      <c r="N882" s="1126"/>
      <c r="O882" s="1126"/>
      <c r="P882" s="1126"/>
      <c r="Q882" s="1126"/>
      <c r="R882" s="1126"/>
      <c r="S882" s="1126"/>
      <c r="T882" s="1126"/>
      <c r="U882" s="1126"/>
      <c r="V882" s="1126"/>
      <c r="W882" s="1126"/>
      <c r="X882" s="1126"/>
      <c r="Y882" s="1126"/>
      <c r="Z882" s="1126"/>
      <c r="AA882" s="1126"/>
      <c r="AB882" s="1126"/>
    </row>
    <row r="883" ht="15.75" customHeight="1">
      <c r="B883" s="1126"/>
      <c r="C883" s="1126"/>
      <c r="D883" s="1126"/>
      <c r="E883" s="1126"/>
      <c r="F883" s="1126"/>
      <c r="G883" s="1126"/>
      <c r="H883" s="1126"/>
      <c r="I883" s="1126"/>
      <c r="J883" s="1126"/>
      <c r="K883" s="1126"/>
      <c r="L883" s="1126"/>
      <c r="M883" s="1126"/>
      <c r="N883" s="1126"/>
      <c r="O883" s="1126"/>
      <c r="P883" s="1126"/>
      <c r="Q883" s="1126"/>
      <c r="R883" s="1126"/>
      <c r="S883" s="1126"/>
      <c r="T883" s="1126"/>
      <c r="U883" s="1126"/>
      <c r="V883" s="1126"/>
      <c r="W883" s="1126"/>
      <c r="X883" s="1126"/>
      <c r="Y883" s="1126"/>
      <c r="Z883" s="1126"/>
      <c r="AA883" s="1126"/>
      <c r="AB883" s="1126"/>
    </row>
    <row r="884" ht="15.75" customHeight="1">
      <c r="B884" s="1126"/>
      <c r="C884" s="1126"/>
      <c r="D884" s="1126"/>
      <c r="E884" s="1126"/>
      <c r="F884" s="1126"/>
      <c r="G884" s="1126"/>
      <c r="H884" s="1126"/>
      <c r="I884" s="1126"/>
      <c r="J884" s="1126"/>
      <c r="K884" s="1126"/>
      <c r="L884" s="1126"/>
      <c r="M884" s="1126"/>
      <c r="N884" s="1126"/>
      <c r="O884" s="1126"/>
      <c r="P884" s="1126"/>
      <c r="Q884" s="1126"/>
      <c r="R884" s="1126"/>
      <c r="S884" s="1126"/>
      <c r="T884" s="1126"/>
      <c r="U884" s="1126"/>
      <c r="V884" s="1126"/>
      <c r="W884" s="1126"/>
      <c r="X884" s="1126"/>
      <c r="Y884" s="1126"/>
      <c r="Z884" s="1126"/>
      <c r="AA884" s="1126"/>
      <c r="AB884" s="1126"/>
    </row>
    <row r="885" ht="15.75" customHeight="1">
      <c r="B885" s="1126"/>
      <c r="C885" s="1126"/>
      <c r="D885" s="1126"/>
      <c r="E885" s="1126"/>
      <c r="F885" s="1126"/>
      <c r="G885" s="1126"/>
      <c r="H885" s="1126"/>
      <c r="I885" s="1126"/>
      <c r="J885" s="1126"/>
      <c r="K885" s="1126"/>
      <c r="L885" s="1126"/>
      <c r="M885" s="1126"/>
      <c r="N885" s="1126"/>
      <c r="O885" s="1126"/>
      <c r="P885" s="1126"/>
      <c r="Q885" s="1126"/>
      <c r="R885" s="1126"/>
      <c r="S885" s="1126"/>
      <c r="T885" s="1126"/>
      <c r="U885" s="1126"/>
      <c r="V885" s="1126"/>
      <c r="W885" s="1126"/>
      <c r="X885" s="1126"/>
      <c r="Y885" s="1126"/>
      <c r="Z885" s="1126"/>
      <c r="AA885" s="1126"/>
      <c r="AB885" s="1126"/>
    </row>
    <row r="886" ht="15.75" customHeight="1">
      <c r="B886" s="1126"/>
      <c r="C886" s="1126"/>
      <c r="D886" s="1126"/>
      <c r="E886" s="1126"/>
      <c r="F886" s="1126"/>
      <c r="G886" s="1126"/>
      <c r="H886" s="1126"/>
      <c r="I886" s="1126"/>
      <c r="J886" s="1126"/>
      <c r="K886" s="1126"/>
      <c r="L886" s="1126"/>
      <c r="M886" s="1126"/>
      <c r="N886" s="1126"/>
      <c r="O886" s="1126"/>
      <c r="P886" s="1126"/>
      <c r="Q886" s="1126"/>
      <c r="R886" s="1126"/>
      <c r="S886" s="1126"/>
      <c r="T886" s="1126"/>
      <c r="U886" s="1126"/>
      <c r="V886" s="1126"/>
      <c r="W886" s="1126"/>
      <c r="X886" s="1126"/>
      <c r="Y886" s="1126"/>
      <c r="Z886" s="1126"/>
      <c r="AA886" s="1126"/>
      <c r="AB886" s="1126"/>
    </row>
    <row r="887" ht="15.75" customHeight="1">
      <c r="B887" s="1126"/>
      <c r="C887" s="1126"/>
      <c r="D887" s="1126"/>
      <c r="E887" s="1126"/>
      <c r="F887" s="1126"/>
      <c r="G887" s="1126"/>
      <c r="H887" s="1126"/>
      <c r="I887" s="1126"/>
      <c r="J887" s="1126"/>
      <c r="K887" s="1126"/>
      <c r="L887" s="1126"/>
      <c r="M887" s="1126"/>
      <c r="N887" s="1126"/>
      <c r="O887" s="1126"/>
      <c r="P887" s="1126"/>
      <c r="Q887" s="1126"/>
      <c r="R887" s="1126"/>
      <c r="S887" s="1126"/>
      <c r="T887" s="1126"/>
      <c r="U887" s="1126"/>
      <c r="V887" s="1126"/>
      <c r="W887" s="1126"/>
      <c r="X887" s="1126"/>
      <c r="Y887" s="1126"/>
      <c r="Z887" s="1126"/>
      <c r="AA887" s="1126"/>
      <c r="AB887" s="1126"/>
    </row>
    <row r="888" ht="15.75" customHeight="1">
      <c r="B888" s="1126"/>
      <c r="C888" s="1126"/>
      <c r="D888" s="1126"/>
      <c r="E888" s="1126"/>
      <c r="F888" s="1126"/>
      <c r="G888" s="1126"/>
      <c r="H888" s="1126"/>
      <c r="I888" s="1126"/>
      <c r="J888" s="1126"/>
      <c r="K888" s="1126"/>
      <c r="L888" s="1126"/>
      <c r="M888" s="1126"/>
      <c r="N888" s="1126"/>
      <c r="O888" s="1126"/>
      <c r="P888" s="1126"/>
      <c r="Q888" s="1126"/>
      <c r="R888" s="1126"/>
      <c r="S888" s="1126"/>
      <c r="T888" s="1126"/>
      <c r="U888" s="1126"/>
      <c r="V888" s="1126"/>
      <c r="W888" s="1126"/>
      <c r="X888" s="1126"/>
      <c r="Y888" s="1126"/>
      <c r="Z888" s="1126"/>
      <c r="AA888" s="1126"/>
      <c r="AB888" s="1126"/>
    </row>
    <row r="889" ht="15.75" customHeight="1">
      <c r="B889" s="1126"/>
      <c r="C889" s="1126"/>
      <c r="D889" s="1126"/>
      <c r="E889" s="1126"/>
      <c r="F889" s="1126"/>
      <c r="G889" s="1126"/>
      <c r="H889" s="1126"/>
      <c r="I889" s="1126"/>
      <c r="J889" s="1126"/>
      <c r="K889" s="1126"/>
      <c r="L889" s="1126"/>
      <c r="M889" s="1126"/>
      <c r="N889" s="1126"/>
      <c r="O889" s="1126"/>
      <c r="P889" s="1126"/>
      <c r="Q889" s="1126"/>
      <c r="R889" s="1126"/>
      <c r="S889" s="1126"/>
      <c r="T889" s="1126"/>
      <c r="U889" s="1126"/>
      <c r="V889" s="1126"/>
      <c r="W889" s="1126"/>
      <c r="X889" s="1126"/>
      <c r="Y889" s="1126"/>
      <c r="Z889" s="1126"/>
      <c r="AA889" s="1126"/>
      <c r="AB889" s="1126"/>
    </row>
    <row r="890" ht="15.75" customHeight="1">
      <c r="B890" s="1126"/>
      <c r="C890" s="1126"/>
      <c r="D890" s="1126"/>
      <c r="E890" s="1126"/>
      <c r="F890" s="1126"/>
      <c r="G890" s="1126"/>
      <c r="H890" s="1126"/>
      <c r="I890" s="1126"/>
      <c r="J890" s="1126"/>
      <c r="K890" s="1126"/>
      <c r="L890" s="1126"/>
      <c r="M890" s="1126"/>
      <c r="N890" s="1126"/>
      <c r="O890" s="1126"/>
      <c r="P890" s="1126"/>
      <c r="Q890" s="1126"/>
      <c r="R890" s="1126"/>
      <c r="S890" s="1126"/>
      <c r="T890" s="1126"/>
      <c r="U890" s="1126"/>
      <c r="V890" s="1126"/>
      <c r="W890" s="1126"/>
      <c r="X890" s="1126"/>
      <c r="Y890" s="1126"/>
      <c r="Z890" s="1126"/>
      <c r="AA890" s="1126"/>
      <c r="AB890" s="1126"/>
    </row>
    <row r="891" ht="15.75" customHeight="1">
      <c r="B891" s="1126"/>
      <c r="C891" s="1126"/>
      <c r="D891" s="1126"/>
      <c r="E891" s="1126"/>
      <c r="F891" s="1126"/>
      <c r="G891" s="1126"/>
      <c r="H891" s="1126"/>
      <c r="I891" s="1126"/>
      <c r="J891" s="1126"/>
      <c r="K891" s="1126"/>
      <c r="L891" s="1126"/>
      <c r="M891" s="1126"/>
      <c r="N891" s="1126"/>
      <c r="O891" s="1126"/>
      <c r="P891" s="1126"/>
      <c r="Q891" s="1126"/>
      <c r="R891" s="1126"/>
      <c r="S891" s="1126"/>
      <c r="T891" s="1126"/>
      <c r="U891" s="1126"/>
      <c r="V891" s="1126"/>
      <c r="W891" s="1126"/>
      <c r="X891" s="1126"/>
      <c r="Y891" s="1126"/>
      <c r="Z891" s="1126"/>
      <c r="AA891" s="1126"/>
      <c r="AB891" s="1126"/>
    </row>
    <row r="892" ht="15.75" customHeight="1">
      <c r="B892" s="1126"/>
      <c r="C892" s="1126"/>
      <c r="D892" s="1126"/>
      <c r="E892" s="1126"/>
      <c r="F892" s="1126"/>
      <c r="G892" s="1126"/>
      <c r="H892" s="1126"/>
      <c r="I892" s="1126"/>
      <c r="J892" s="1126"/>
      <c r="K892" s="1126"/>
      <c r="L892" s="1126"/>
      <c r="M892" s="1126"/>
      <c r="N892" s="1126"/>
      <c r="O892" s="1126"/>
      <c r="P892" s="1126"/>
      <c r="Q892" s="1126"/>
      <c r="R892" s="1126"/>
      <c r="S892" s="1126"/>
      <c r="T892" s="1126"/>
      <c r="U892" s="1126"/>
      <c r="V892" s="1126"/>
      <c r="W892" s="1126"/>
      <c r="X892" s="1126"/>
      <c r="Y892" s="1126"/>
      <c r="Z892" s="1126"/>
      <c r="AA892" s="1126"/>
      <c r="AB892" s="1126"/>
    </row>
    <row r="893" ht="15.75" customHeight="1">
      <c r="B893" s="1126"/>
      <c r="C893" s="1126"/>
      <c r="D893" s="1126"/>
      <c r="E893" s="1126"/>
      <c r="F893" s="1126"/>
      <c r="G893" s="1126"/>
      <c r="H893" s="1126"/>
      <c r="I893" s="1126"/>
      <c r="J893" s="1126"/>
      <c r="K893" s="1126"/>
      <c r="L893" s="1126"/>
      <c r="M893" s="1126"/>
      <c r="N893" s="1126"/>
      <c r="O893" s="1126"/>
      <c r="P893" s="1126"/>
      <c r="Q893" s="1126"/>
      <c r="R893" s="1126"/>
      <c r="S893" s="1126"/>
      <c r="T893" s="1126"/>
      <c r="U893" s="1126"/>
      <c r="V893" s="1126"/>
      <c r="W893" s="1126"/>
      <c r="X893" s="1126"/>
      <c r="Y893" s="1126"/>
      <c r="Z893" s="1126"/>
      <c r="AA893" s="1126"/>
      <c r="AB893" s="1126"/>
    </row>
    <row r="894" ht="15.75" customHeight="1">
      <c r="B894" s="1126"/>
      <c r="C894" s="1126"/>
      <c r="D894" s="1126"/>
      <c r="E894" s="1126"/>
      <c r="F894" s="1126"/>
      <c r="G894" s="1126"/>
      <c r="H894" s="1126"/>
      <c r="I894" s="1126"/>
      <c r="J894" s="1126"/>
      <c r="K894" s="1126"/>
      <c r="L894" s="1126"/>
      <c r="M894" s="1126"/>
      <c r="N894" s="1126"/>
      <c r="O894" s="1126"/>
      <c r="P894" s="1126"/>
      <c r="Q894" s="1126"/>
      <c r="R894" s="1126"/>
      <c r="S894" s="1126"/>
      <c r="T894" s="1126"/>
      <c r="U894" s="1126"/>
      <c r="V894" s="1126"/>
      <c r="W894" s="1126"/>
      <c r="X894" s="1126"/>
      <c r="Y894" s="1126"/>
      <c r="Z894" s="1126"/>
      <c r="AA894" s="1126"/>
      <c r="AB894" s="1126"/>
    </row>
    <row r="895" ht="15.75" customHeight="1">
      <c r="B895" s="1126"/>
      <c r="C895" s="1126"/>
      <c r="D895" s="1126"/>
      <c r="E895" s="1126"/>
      <c r="F895" s="1126"/>
      <c r="G895" s="1126"/>
      <c r="H895" s="1126"/>
      <c r="I895" s="1126"/>
      <c r="J895" s="1126"/>
      <c r="K895" s="1126"/>
      <c r="L895" s="1126"/>
      <c r="M895" s="1126"/>
      <c r="N895" s="1126"/>
      <c r="O895" s="1126"/>
      <c r="P895" s="1126"/>
      <c r="Q895" s="1126"/>
      <c r="R895" s="1126"/>
      <c r="S895" s="1126"/>
      <c r="T895" s="1126"/>
      <c r="U895" s="1126"/>
      <c r="V895" s="1126"/>
      <c r="W895" s="1126"/>
      <c r="X895" s="1126"/>
      <c r="Y895" s="1126"/>
      <c r="Z895" s="1126"/>
      <c r="AA895" s="1126"/>
      <c r="AB895" s="1126"/>
    </row>
    <row r="896" ht="15.75" customHeight="1">
      <c r="B896" s="1126"/>
      <c r="C896" s="1126"/>
      <c r="D896" s="1126"/>
      <c r="E896" s="1126"/>
      <c r="F896" s="1126"/>
      <c r="G896" s="1126"/>
      <c r="H896" s="1126"/>
      <c r="I896" s="1126"/>
      <c r="J896" s="1126"/>
      <c r="K896" s="1126"/>
      <c r="L896" s="1126"/>
      <c r="M896" s="1126"/>
      <c r="N896" s="1126"/>
      <c r="O896" s="1126"/>
      <c r="P896" s="1126"/>
      <c r="Q896" s="1126"/>
      <c r="R896" s="1126"/>
      <c r="S896" s="1126"/>
      <c r="T896" s="1126"/>
      <c r="U896" s="1126"/>
      <c r="V896" s="1126"/>
      <c r="W896" s="1126"/>
      <c r="X896" s="1126"/>
      <c r="Y896" s="1126"/>
      <c r="Z896" s="1126"/>
      <c r="AA896" s="1126"/>
      <c r="AB896" s="1126"/>
    </row>
    <row r="897" ht="15.75" customHeight="1">
      <c r="B897" s="1126"/>
      <c r="C897" s="1126"/>
      <c r="D897" s="1126"/>
      <c r="E897" s="1126"/>
      <c r="F897" s="1126"/>
      <c r="G897" s="1126"/>
      <c r="H897" s="1126"/>
      <c r="I897" s="1126"/>
      <c r="J897" s="1126"/>
      <c r="K897" s="1126"/>
      <c r="L897" s="1126"/>
      <c r="M897" s="1126"/>
      <c r="N897" s="1126"/>
      <c r="O897" s="1126"/>
      <c r="P897" s="1126"/>
      <c r="Q897" s="1126"/>
      <c r="R897" s="1126"/>
      <c r="S897" s="1126"/>
      <c r="T897" s="1126"/>
      <c r="U897" s="1126"/>
      <c r="V897" s="1126"/>
      <c r="W897" s="1126"/>
      <c r="X897" s="1126"/>
      <c r="Y897" s="1126"/>
      <c r="Z897" s="1126"/>
      <c r="AA897" s="1126"/>
      <c r="AB897" s="1126"/>
    </row>
    <row r="898" ht="15.75" customHeight="1">
      <c r="B898" s="1126"/>
      <c r="C898" s="1126"/>
      <c r="D898" s="1126"/>
      <c r="E898" s="1126"/>
      <c r="F898" s="1126"/>
      <c r="G898" s="1126"/>
      <c r="H898" s="1126"/>
      <c r="I898" s="1126"/>
      <c r="J898" s="1126"/>
      <c r="K898" s="1126"/>
      <c r="L898" s="1126"/>
      <c r="M898" s="1126"/>
      <c r="N898" s="1126"/>
      <c r="O898" s="1126"/>
      <c r="P898" s="1126"/>
      <c r="Q898" s="1126"/>
      <c r="R898" s="1126"/>
      <c r="S898" s="1126"/>
      <c r="T898" s="1126"/>
      <c r="U898" s="1126"/>
      <c r="V898" s="1126"/>
      <c r="W898" s="1126"/>
      <c r="X898" s="1126"/>
      <c r="Y898" s="1126"/>
      <c r="Z898" s="1126"/>
      <c r="AA898" s="1126"/>
      <c r="AB898" s="1126"/>
    </row>
    <row r="899" ht="15.75" customHeight="1">
      <c r="B899" s="1126"/>
      <c r="C899" s="1126"/>
      <c r="D899" s="1126"/>
      <c r="E899" s="1126"/>
      <c r="F899" s="1126"/>
      <c r="G899" s="1126"/>
      <c r="H899" s="1126"/>
      <c r="I899" s="1126"/>
      <c r="J899" s="1126"/>
      <c r="K899" s="1126"/>
      <c r="L899" s="1126"/>
      <c r="M899" s="1126"/>
      <c r="N899" s="1126"/>
      <c r="O899" s="1126"/>
      <c r="P899" s="1126"/>
      <c r="Q899" s="1126"/>
      <c r="R899" s="1126"/>
      <c r="S899" s="1126"/>
      <c r="T899" s="1126"/>
      <c r="U899" s="1126"/>
      <c r="V899" s="1126"/>
      <c r="W899" s="1126"/>
      <c r="X899" s="1126"/>
      <c r="Y899" s="1126"/>
      <c r="Z899" s="1126"/>
      <c r="AA899" s="1126"/>
      <c r="AB899" s="1126"/>
    </row>
    <row r="900" ht="15.75" customHeight="1">
      <c r="B900" s="1126"/>
      <c r="C900" s="1126"/>
      <c r="D900" s="1126"/>
      <c r="E900" s="1126"/>
      <c r="F900" s="1126"/>
      <c r="G900" s="1126"/>
      <c r="H900" s="1126"/>
      <c r="I900" s="1126"/>
      <c r="J900" s="1126"/>
      <c r="K900" s="1126"/>
      <c r="L900" s="1126"/>
      <c r="M900" s="1126"/>
      <c r="N900" s="1126"/>
      <c r="O900" s="1126"/>
      <c r="P900" s="1126"/>
      <c r="Q900" s="1126"/>
      <c r="R900" s="1126"/>
      <c r="S900" s="1126"/>
      <c r="T900" s="1126"/>
      <c r="U900" s="1126"/>
      <c r="V900" s="1126"/>
      <c r="W900" s="1126"/>
      <c r="X900" s="1126"/>
      <c r="Y900" s="1126"/>
      <c r="Z900" s="1126"/>
      <c r="AA900" s="1126"/>
      <c r="AB900" s="1126"/>
    </row>
    <row r="901" ht="15.75" customHeight="1">
      <c r="B901" s="1126"/>
      <c r="C901" s="1126"/>
      <c r="D901" s="1126"/>
      <c r="E901" s="1126"/>
      <c r="F901" s="1126"/>
      <c r="G901" s="1126"/>
      <c r="H901" s="1126"/>
      <c r="I901" s="1126"/>
      <c r="J901" s="1126"/>
      <c r="K901" s="1126"/>
      <c r="L901" s="1126"/>
      <c r="M901" s="1126"/>
      <c r="N901" s="1126"/>
      <c r="O901" s="1126"/>
      <c r="P901" s="1126"/>
      <c r="Q901" s="1126"/>
      <c r="R901" s="1126"/>
      <c r="S901" s="1126"/>
      <c r="T901" s="1126"/>
      <c r="U901" s="1126"/>
      <c r="V901" s="1126"/>
      <c r="W901" s="1126"/>
      <c r="X901" s="1126"/>
      <c r="Y901" s="1126"/>
      <c r="Z901" s="1126"/>
      <c r="AA901" s="1126"/>
      <c r="AB901" s="1126"/>
    </row>
    <row r="902" ht="15.75" customHeight="1">
      <c r="B902" s="1126"/>
      <c r="C902" s="1126"/>
      <c r="D902" s="1126"/>
      <c r="E902" s="1126"/>
      <c r="F902" s="1126"/>
      <c r="G902" s="1126"/>
      <c r="H902" s="1126"/>
      <c r="I902" s="1126"/>
      <c r="J902" s="1126"/>
      <c r="K902" s="1126"/>
      <c r="L902" s="1126"/>
      <c r="M902" s="1126"/>
      <c r="N902" s="1126"/>
      <c r="O902" s="1126"/>
      <c r="P902" s="1126"/>
      <c r="Q902" s="1126"/>
      <c r="R902" s="1126"/>
      <c r="S902" s="1126"/>
      <c r="T902" s="1126"/>
      <c r="U902" s="1126"/>
      <c r="V902" s="1126"/>
      <c r="W902" s="1126"/>
      <c r="X902" s="1126"/>
      <c r="Y902" s="1126"/>
      <c r="Z902" s="1126"/>
      <c r="AA902" s="1126"/>
      <c r="AB902" s="1126"/>
    </row>
    <row r="903" ht="15.75" customHeight="1">
      <c r="B903" s="1126"/>
      <c r="C903" s="1126"/>
      <c r="D903" s="1126"/>
      <c r="E903" s="1126"/>
      <c r="F903" s="1126"/>
      <c r="G903" s="1126"/>
      <c r="H903" s="1126"/>
      <c r="I903" s="1126"/>
      <c r="J903" s="1126"/>
      <c r="K903" s="1126"/>
      <c r="L903" s="1126"/>
      <c r="M903" s="1126"/>
      <c r="N903" s="1126"/>
      <c r="O903" s="1126"/>
      <c r="P903" s="1126"/>
      <c r="Q903" s="1126"/>
      <c r="R903" s="1126"/>
      <c r="S903" s="1126"/>
      <c r="T903" s="1126"/>
      <c r="U903" s="1126"/>
      <c r="V903" s="1126"/>
      <c r="W903" s="1126"/>
      <c r="X903" s="1126"/>
      <c r="Y903" s="1126"/>
      <c r="Z903" s="1126"/>
      <c r="AA903" s="1126"/>
      <c r="AB903" s="1126"/>
    </row>
    <row r="904" ht="15.75" customHeight="1">
      <c r="B904" s="1126"/>
      <c r="C904" s="1126"/>
      <c r="D904" s="1126"/>
      <c r="E904" s="1126"/>
      <c r="F904" s="1126"/>
      <c r="G904" s="1126"/>
      <c r="H904" s="1126"/>
      <c r="I904" s="1126"/>
      <c r="J904" s="1126"/>
      <c r="K904" s="1126"/>
      <c r="L904" s="1126"/>
      <c r="M904" s="1126"/>
      <c r="N904" s="1126"/>
      <c r="O904" s="1126"/>
      <c r="P904" s="1126"/>
      <c r="Q904" s="1126"/>
      <c r="R904" s="1126"/>
      <c r="S904" s="1126"/>
      <c r="T904" s="1126"/>
      <c r="U904" s="1126"/>
      <c r="V904" s="1126"/>
      <c r="W904" s="1126"/>
      <c r="X904" s="1126"/>
      <c r="Y904" s="1126"/>
      <c r="Z904" s="1126"/>
      <c r="AA904" s="1126"/>
      <c r="AB904" s="1126"/>
    </row>
    <row r="905" ht="15.75" customHeight="1">
      <c r="B905" s="1126"/>
      <c r="C905" s="1126"/>
      <c r="D905" s="1126"/>
      <c r="E905" s="1126"/>
      <c r="F905" s="1126"/>
      <c r="G905" s="1126"/>
      <c r="H905" s="1126"/>
      <c r="I905" s="1126"/>
      <c r="J905" s="1126"/>
      <c r="K905" s="1126"/>
      <c r="L905" s="1126"/>
      <c r="M905" s="1126"/>
      <c r="N905" s="1126"/>
      <c r="O905" s="1126"/>
      <c r="P905" s="1126"/>
      <c r="Q905" s="1126"/>
      <c r="R905" s="1126"/>
      <c r="S905" s="1126"/>
      <c r="T905" s="1126"/>
      <c r="U905" s="1126"/>
      <c r="V905" s="1126"/>
      <c r="W905" s="1126"/>
      <c r="X905" s="1126"/>
      <c r="Y905" s="1126"/>
      <c r="Z905" s="1126"/>
      <c r="AA905" s="1126"/>
      <c r="AB905" s="1126"/>
    </row>
    <row r="906" ht="15.75" customHeight="1">
      <c r="B906" s="1126"/>
      <c r="C906" s="1126"/>
      <c r="D906" s="1126"/>
      <c r="E906" s="1126"/>
      <c r="F906" s="1126"/>
      <c r="G906" s="1126"/>
      <c r="H906" s="1126"/>
      <c r="I906" s="1126"/>
      <c r="J906" s="1126"/>
      <c r="K906" s="1126"/>
      <c r="L906" s="1126"/>
      <c r="M906" s="1126"/>
      <c r="N906" s="1126"/>
      <c r="O906" s="1126"/>
      <c r="P906" s="1126"/>
      <c r="Q906" s="1126"/>
      <c r="R906" s="1126"/>
      <c r="S906" s="1126"/>
      <c r="T906" s="1126"/>
      <c r="U906" s="1126"/>
      <c r="V906" s="1126"/>
      <c r="W906" s="1126"/>
      <c r="X906" s="1126"/>
      <c r="Y906" s="1126"/>
      <c r="Z906" s="1126"/>
      <c r="AA906" s="1126"/>
      <c r="AB906" s="1126"/>
    </row>
    <row r="907" ht="15.75" customHeight="1">
      <c r="B907" s="1126"/>
      <c r="C907" s="1126"/>
      <c r="D907" s="1126"/>
      <c r="E907" s="1126"/>
      <c r="F907" s="1126"/>
      <c r="G907" s="1126"/>
      <c r="H907" s="1126"/>
      <c r="I907" s="1126"/>
      <c r="J907" s="1126"/>
      <c r="K907" s="1126"/>
      <c r="L907" s="1126"/>
      <c r="M907" s="1126"/>
      <c r="N907" s="1126"/>
      <c r="O907" s="1126"/>
      <c r="P907" s="1126"/>
      <c r="Q907" s="1126"/>
      <c r="R907" s="1126"/>
      <c r="S907" s="1126"/>
      <c r="T907" s="1126"/>
      <c r="U907" s="1126"/>
      <c r="V907" s="1126"/>
      <c r="W907" s="1126"/>
      <c r="X907" s="1126"/>
      <c r="Y907" s="1126"/>
      <c r="Z907" s="1126"/>
      <c r="AA907" s="1126"/>
      <c r="AB907" s="1126"/>
    </row>
    <row r="908" ht="15.75" customHeight="1">
      <c r="B908" s="1126"/>
      <c r="C908" s="1126"/>
      <c r="D908" s="1126"/>
      <c r="E908" s="1126"/>
      <c r="F908" s="1126"/>
      <c r="G908" s="1126"/>
      <c r="H908" s="1126"/>
      <c r="I908" s="1126"/>
      <c r="J908" s="1126"/>
      <c r="K908" s="1126"/>
      <c r="L908" s="1126"/>
      <c r="M908" s="1126"/>
      <c r="N908" s="1126"/>
      <c r="O908" s="1126"/>
      <c r="P908" s="1126"/>
      <c r="Q908" s="1126"/>
      <c r="R908" s="1126"/>
      <c r="S908" s="1126"/>
      <c r="T908" s="1126"/>
      <c r="U908" s="1126"/>
      <c r="V908" s="1126"/>
      <c r="W908" s="1126"/>
      <c r="X908" s="1126"/>
      <c r="Y908" s="1126"/>
      <c r="Z908" s="1126"/>
      <c r="AA908" s="1126"/>
      <c r="AB908" s="1126"/>
    </row>
    <row r="909" ht="15.75" customHeight="1">
      <c r="B909" s="1126"/>
      <c r="C909" s="1126"/>
      <c r="D909" s="1126"/>
      <c r="E909" s="1126"/>
      <c r="F909" s="1126"/>
      <c r="G909" s="1126"/>
      <c r="H909" s="1126"/>
      <c r="I909" s="1126"/>
      <c r="J909" s="1126"/>
      <c r="K909" s="1126"/>
      <c r="L909" s="1126"/>
      <c r="M909" s="1126"/>
      <c r="N909" s="1126"/>
      <c r="O909" s="1126"/>
      <c r="P909" s="1126"/>
      <c r="Q909" s="1126"/>
      <c r="R909" s="1126"/>
      <c r="S909" s="1126"/>
      <c r="T909" s="1126"/>
      <c r="U909" s="1126"/>
      <c r="V909" s="1126"/>
      <c r="W909" s="1126"/>
      <c r="X909" s="1126"/>
      <c r="Y909" s="1126"/>
      <c r="Z909" s="1126"/>
      <c r="AA909" s="1126"/>
      <c r="AB909" s="1126"/>
    </row>
    <row r="910" ht="15.75" customHeight="1">
      <c r="B910" s="1126"/>
      <c r="C910" s="1126"/>
      <c r="D910" s="1126"/>
      <c r="E910" s="1126"/>
      <c r="F910" s="1126"/>
      <c r="G910" s="1126"/>
      <c r="H910" s="1126"/>
      <c r="I910" s="1126"/>
      <c r="J910" s="1126"/>
      <c r="K910" s="1126"/>
      <c r="L910" s="1126"/>
      <c r="M910" s="1126"/>
      <c r="N910" s="1126"/>
      <c r="O910" s="1126"/>
      <c r="P910" s="1126"/>
      <c r="Q910" s="1126"/>
      <c r="R910" s="1126"/>
      <c r="S910" s="1126"/>
      <c r="T910" s="1126"/>
      <c r="U910" s="1126"/>
      <c r="V910" s="1126"/>
      <c r="W910" s="1126"/>
      <c r="X910" s="1126"/>
      <c r="Y910" s="1126"/>
      <c r="Z910" s="1126"/>
      <c r="AA910" s="1126"/>
      <c r="AB910" s="1126"/>
    </row>
    <row r="911" ht="15.75" customHeight="1">
      <c r="B911" s="1126"/>
      <c r="C911" s="1126"/>
      <c r="D911" s="1126"/>
      <c r="E911" s="1126"/>
      <c r="F911" s="1126"/>
      <c r="G911" s="1126"/>
      <c r="H911" s="1126"/>
      <c r="I911" s="1126"/>
      <c r="J911" s="1126"/>
      <c r="K911" s="1126"/>
      <c r="L911" s="1126"/>
      <c r="M911" s="1126"/>
      <c r="N911" s="1126"/>
      <c r="O911" s="1126"/>
      <c r="P911" s="1126"/>
      <c r="Q911" s="1126"/>
      <c r="R911" s="1126"/>
      <c r="S911" s="1126"/>
      <c r="T911" s="1126"/>
      <c r="U911" s="1126"/>
      <c r="V911" s="1126"/>
      <c r="W911" s="1126"/>
      <c r="X911" s="1126"/>
      <c r="Y911" s="1126"/>
      <c r="Z911" s="1126"/>
      <c r="AA911" s="1126"/>
      <c r="AB911" s="1126"/>
    </row>
    <row r="912" ht="15.75" customHeight="1">
      <c r="B912" s="1126"/>
      <c r="C912" s="1126"/>
      <c r="D912" s="1126"/>
      <c r="E912" s="1126"/>
      <c r="F912" s="1126"/>
      <c r="G912" s="1126"/>
      <c r="H912" s="1126"/>
      <c r="I912" s="1126"/>
      <c r="J912" s="1126"/>
      <c r="K912" s="1126"/>
      <c r="L912" s="1126"/>
      <c r="M912" s="1126"/>
      <c r="N912" s="1126"/>
      <c r="O912" s="1126"/>
      <c r="P912" s="1126"/>
      <c r="Q912" s="1126"/>
      <c r="R912" s="1126"/>
      <c r="S912" s="1126"/>
      <c r="T912" s="1126"/>
      <c r="U912" s="1126"/>
      <c r="V912" s="1126"/>
      <c r="W912" s="1126"/>
      <c r="X912" s="1126"/>
      <c r="Y912" s="1126"/>
      <c r="Z912" s="1126"/>
      <c r="AA912" s="1126"/>
      <c r="AB912" s="1126"/>
    </row>
    <row r="913" ht="15.75" customHeight="1">
      <c r="B913" s="1126"/>
      <c r="C913" s="1126"/>
      <c r="D913" s="1126"/>
      <c r="E913" s="1126"/>
      <c r="F913" s="1126"/>
      <c r="G913" s="1126"/>
      <c r="H913" s="1126"/>
      <c r="I913" s="1126"/>
      <c r="J913" s="1126"/>
      <c r="K913" s="1126"/>
      <c r="L913" s="1126"/>
      <c r="M913" s="1126"/>
      <c r="N913" s="1126"/>
      <c r="O913" s="1126"/>
      <c r="P913" s="1126"/>
      <c r="Q913" s="1126"/>
      <c r="R913" s="1126"/>
      <c r="S913" s="1126"/>
      <c r="T913" s="1126"/>
      <c r="U913" s="1126"/>
      <c r="V913" s="1126"/>
      <c r="W913" s="1126"/>
      <c r="X913" s="1126"/>
      <c r="Y913" s="1126"/>
      <c r="Z913" s="1126"/>
      <c r="AA913" s="1126"/>
      <c r="AB913" s="1126"/>
    </row>
    <row r="914" ht="15.75" customHeight="1">
      <c r="B914" s="1126"/>
      <c r="C914" s="1126"/>
      <c r="D914" s="1126"/>
      <c r="E914" s="1126"/>
      <c r="F914" s="1126"/>
      <c r="G914" s="1126"/>
      <c r="H914" s="1126"/>
      <c r="I914" s="1126"/>
      <c r="J914" s="1126"/>
      <c r="K914" s="1126"/>
      <c r="L914" s="1126"/>
      <c r="M914" s="1126"/>
      <c r="N914" s="1126"/>
      <c r="O914" s="1126"/>
      <c r="P914" s="1126"/>
      <c r="Q914" s="1126"/>
      <c r="R914" s="1126"/>
      <c r="S914" s="1126"/>
      <c r="T914" s="1126"/>
      <c r="U914" s="1126"/>
      <c r="V914" s="1126"/>
      <c r="W914" s="1126"/>
      <c r="X914" s="1126"/>
      <c r="Y914" s="1126"/>
      <c r="Z914" s="1126"/>
      <c r="AA914" s="1126"/>
      <c r="AB914" s="1126"/>
    </row>
    <row r="915" ht="15.75" customHeight="1">
      <c r="B915" s="1126"/>
      <c r="C915" s="1126"/>
      <c r="D915" s="1126"/>
      <c r="E915" s="1126"/>
      <c r="F915" s="1126"/>
      <c r="G915" s="1126"/>
      <c r="H915" s="1126"/>
      <c r="I915" s="1126"/>
      <c r="J915" s="1126"/>
      <c r="K915" s="1126"/>
      <c r="L915" s="1126"/>
      <c r="M915" s="1126"/>
      <c r="N915" s="1126"/>
      <c r="O915" s="1126"/>
      <c r="P915" s="1126"/>
      <c r="Q915" s="1126"/>
      <c r="R915" s="1126"/>
      <c r="S915" s="1126"/>
      <c r="T915" s="1126"/>
      <c r="U915" s="1126"/>
      <c r="V915" s="1126"/>
      <c r="W915" s="1126"/>
      <c r="X915" s="1126"/>
      <c r="Y915" s="1126"/>
      <c r="Z915" s="1126"/>
      <c r="AA915" s="1126"/>
      <c r="AB915" s="1126"/>
    </row>
    <row r="916" ht="15.75" customHeight="1">
      <c r="B916" s="1126"/>
      <c r="C916" s="1126"/>
      <c r="D916" s="1126"/>
      <c r="E916" s="1126"/>
      <c r="F916" s="1126"/>
      <c r="G916" s="1126"/>
      <c r="H916" s="1126"/>
      <c r="I916" s="1126"/>
      <c r="J916" s="1126"/>
      <c r="K916" s="1126"/>
      <c r="L916" s="1126"/>
      <c r="M916" s="1126"/>
      <c r="N916" s="1126"/>
      <c r="O916" s="1126"/>
      <c r="P916" s="1126"/>
      <c r="Q916" s="1126"/>
      <c r="R916" s="1126"/>
      <c r="S916" s="1126"/>
      <c r="T916" s="1126"/>
      <c r="U916" s="1126"/>
      <c r="V916" s="1126"/>
      <c r="W916" s="1126"/>
      <c r="X916" s="1126"/>
      <c r="Y916" s="1126"/>
      <c r="Z916" s="1126"/>
      <c r="AA916" s="1126"/>
      <c r="AB916" s="1126"/>
    </row>
    <row r="917" ht="15.75" customHeight="1">
      <c r="B917" s="1126"/>
      <c r="C917" s="1126"/>
      <c r="D917" s="1126"/>
      <c r="E917" s="1126"/>
      <c r="F917" s="1126"/>
      <c r="G917" s="1126"/>
      <c r="H917" s="1126"/>
      <c r="I917" s="1126"/>
      <c r="J917" s="1126"/>
      <c r="K917" s="1126"/>
      <c r="L917" s="1126"/>
      <c r="M917" s="1126"/>
      <c r="N917" s="1126"/>
      <c r="O917" s="1126"/>
      <c r="P917" s="1126"/>
      <c r="Q917" s="1126"/>
      <c r="R917" s="1126"/>
      <c r="S917" s="1126"/>
      <c r="T917" s="1126"/>
      <c r="U917" s="1126"/>
      <c r="V917" s="1126"/>
      <c r="W917" s="1126"/>
      <c r="X917" s="1126"/>
      <c r="Y917" s="1126"/>
      <c r="Z917" s="1126"/>
      <c r="AA917" s="1126"/>
      <c r="AB917" s="1126"/>
    </row>
    <row r="918" ht="15.75" customHeight="1">
      <c r="B918" s="1126"/>
      <c r="C918" s="1126"/>
      <c r="D918" s="1126"/>
      <c r="E918" s="1126"/>
      <c r="F918" s="1126"/>
      <c r="G918" s="1126"/>
      <c r="H918" s="1126"/>
      <c r="I918" s="1126"/>
      <c r="J918" s="1126"/>
      <c r="K918" s="1126"/>
      <c r="L918" s="1126"/>
      <c r="M918" s="1126"/>
      <c r="N918" s="1126"/>
      <c r="O918" s="1126"/>
      <c r="P918" s="1126"/>
      <c r="Q918" s="1126"/>
      <c r="R918" s="1126"/>
      <c r="S918" s="1126"/>
      <c r="T918" s="1126"/>
      <c r="U918" s="1126"/>
      <c r="V918" s="1126"/>
      <c r="W918" s="1126"/>
      <c r="X918" s="1126"/>
      <c r="Y918" s="1126"/>
      <c r="Z918" s="1126"/>
      <c r="AA918" s="1126"/>
      <c r="AB918" s="1126"/>
    </row>
    <row r="919" ht="15.75" customHeight="1">
      <c r="B919" s="1126"/>
      <c r="C919" s="1126"/>
      <c r="D919" s="1126"/>
      <c r="E919" s="1126"/>
      <c r="F919" s="1126"/>
      <c r="G919" s="1126"/>
      <c r="H919" s="1126"/>
      <c r="I919" s="1126"/>
      <c r="J919" s="1126"/>
      <c r="K919" s="1126"/>
      <c r="L919" s="1126"/>
      <c r="M919" s="1126"/>
      <c r="N919" s="1126"/>
      <c r="O919" s="1126"/>
      <c r="P919" s="1126"/>
      <c r="Q919" s="1126"/>
      <c r="R919" s="1126"/>
      <c r="S919" s="1126"/>
      <c r="T919" s="1126"/>
      <c r="U919" s="1126"/>
      <c r="V919" s="1126"/>
      <c r="W919" s="1126"/>
      <c r="X919" s="1126"/>
      <c r="Y919" s="1126"/>
      <c r="Z919" s="1126"/>
      <c r="AA919" s="1126"/>
      <c r="AB919" s="1126"/>
    </row>
    <row r="920" ht="15.75" customHeight="1">
      <c r="B920" s="1126"/>
      <c r="C920" s="1126"/>
      <c r="D920" s="1126"/>
      <c r="E920" s="1126"/>
      <c r="F920" s="1126"/>
      <c r="G920" s="1126"/>
      <c r="H920" s="1126"/>
      <c r="I920" s="1126"/>
      <c r="J920" s="1126"/>
      <c r="K920" s="1126"/>
      <c r="L920" s="1126"/>
      <c r="M920" s="1126"/>
      <c r="N920" s="1126"/>
      <c r="O920" s="1126"/>
      <c r="P920" s="1126"/>
      <c r="Q920" s="1126"/>
      <c r="R920" s="1126"/>
      <c r="S920" s="1126"/>
      <c r="T920" s="1126"/>
      <c r="U920" s="1126"/>
      <c r="V920" s="1126"/>
      <c r="W920" s="1126"/>
      <c r="X920" s="1126"/>
      <c r="Y920" s="1126"/>
      <c r="Z920" s="1126"/>
      <c r="AA920" s="1126"/>
      <c r="AB920" s="1126"/>
    </row>
    <row r="921" ht="15.75" customHeight="1">
      <c r="B921" s="1126"/>
      <c r="C921" s="1126"/>
      <c r="D921" s="1126"/>
      <c r="E921" s="1126"/>
      <c r="F921" s="1126"/>
      <c r="G921" s="1126"/>
      <c r="H921" s="1126"/>
      <c r="I921" s="1126"/>
      <c r="J921" s="1126"/>
      <c r="K921" s="1126"/>
      <c r="L921" s="1126"/>
      <c r="M921" s="1126"/>
      <c r="N921" s="1126"/>
      <c r="O921" s="1126"/>
      <c r="P921" s="1126"/>
      <c r="Q921" s="1126"/>
      <c r="R921" s="1126"/>
      <c r="S921" s="1126"/>
      <c r="T921" s="1126"/>
      <c r="U921" s="1126"/>
      <c r="V921" s="1126"/>
      <c r="W921" s="1126"/>
      <c r="X921" s="1126"/>
      <c r="Y921" s="1126"/>
      <c r="Z921" s="1126"/>
      <c r="AA921" s="1126"/>
      <c r="AB921" s="1126"/>
    </row>
    <row r="922" ht="15.75" customHeight="1">
      <c r="B922" s="1126"/>
      <c r="C922" s="1126"/>
      <c r="D922" s="1126"/>
      <c r="E922" s="1126"/>
      <c r="F922" s="1126"/>
      <c r="G922" s="1126"/>
      <c r="H922" s="1126"/>
      <c r="I922" s="1126"/>
      <c r="J922" s="1126"/>
      <c r="K922" s="1126"/>
      <c r="L922" s="1126"/>
      <c r="M922" s="1126"/>
      <c r="N922" s="1126"/>
      <c r="O922" s="1126"/>
      <c r="P922" s="1126"/>
      <c r="Q922" s="1126"/>
      <c r="R922" s="1126"/>
      <c r="S922" s="1126"/>
      <c r="T922" s="1126"/>
      <c r="U922" s="1126"/>
      <c r="V922" s="1126"/>
      <c r="W922" s="1126"/>
      <c r="X922" s="1126"/>
      <c r="Y922" s="1126"/>
      <c r="Z922" s="1126"/>
      <c r="AA922" s="1126"/>
      <c r="AB922" s="1126"/>
    </row>
    <row r="923" ht="15.75" customHeight="1">
      <c r="B923" s="1126"/>
      <c r="C923" s="1126"/>
      <c r="D923" s="1126"/>
      <c r="E923" s="1126"/>
      <c r="F923" s="1126"/>
      <c r="G923" s="1126"/>
      <c r="H923" s="1126"/>
      <c r="I923" s="1126"/>
      <c r="J923" s="1126"/>
      <c r="K923" s="1126"/>
      <c r="L923" s="1126"/>
      <c r="M923" s="1126"/>
      <c r="N923" s="1126"/>
      <c r="O923" s="1126"/>
      <c r="P923" s="1126"/>
      <c r="Q923" s="1126"/>
      <c r="R923" s="1126"/>
      <c r="S923" s="1126"/>
      <c r="T923" s="1126"/>
      <c r="U923" s="1126"/>
      <c r="V923" s="1126"/>
      <c r="W923" s="1126"/>
      <c r="X923" s="1126"/>
      <c r="Y923" s="1126"/>
      <c r="Z923" s="1126"/>
      <c r="AA923" s="1126"/>
      <c r="AB923" s="1126"/>
    </row>
    <row r="924" ht="15.75" customHeight="1">
      <c r="B924" s="1126"/>
      <c r="C924" s="1126"/>
      <c r="D924" s="1126"/>
      <c r="E924" s="1126"/>
      <c r="F924" s="1126"/>
      <c r="G924" s="1126"/>
      <c r="H924" s="1126"/>
      <c r="I924" s="1126"/>
      <c r="J924" s="1126"/>
      <c r="K924" s="1126"/>
      <c r="L924" s="1126"/>
      <c r="M924" s="1126"/>
      <c r="N924" s="1126"/>
      <c r="O924" s="1126"/>
      <c r="P924" s="1126"/>
      <c r="Q924" s="1126"/>
      <c r="R924" s="1126"/>
      <c r="S924" s="1126"/>
      <c r="T924" s="1126"/>
      <c r="U924" s="1126"/>
      <c r="V924" s="1126"/>
      <c r="W924" s="1126"/>
      <c r="X924" s="1126"/>
      <c r="Y924" s="1126"/>
      <c r="Z924" s="1126"/>
      <c r="AA924" s="1126"/>
      <c r="AB924" s="1126"/>
    </row>
    <row r="925" ht="15.75" customHeight="1">
      <c r="B925" s="1126"/>
      <c r="C925" s="1126"/>
      <c r="D925" s="1126"/>
      <c r="E925" s="1126"/>
      <c r="F925" s="1126"/>
      <c r="G925" s="1126"/>
      <c r="H925" s="1126"/>
      <c r="I925" s="1126"/>
      <c r="J925" s="1126"/>
      <c r="K925" s="1126"/>
      <c r="L925" s="1126"/>
      <c r="M925" s="1126"/>
      <c r="N925" s="1126"/>
      <c r="O925" s="1126"/>
      <c r="P925" s="1126"/>
      <c r="Q925" s="1126"/>
      <c r="R925" s="1126"/>
      <c r="S925" s="1126"/>
      <c r="T925" s="1126"/>
      <c r="U925" s="1126"/>
      <c r="V925" s="1126"/>
      <c r="W925" s="1126"/>
      <c r="X925" s="1126"/>
      <c r="Y925" s="1126"/>
      <c r="Z925" s="1126"/>
      <c r="AA925" s="1126"/>
      <c r="AB925" s="1126"/>
    </row>
    <row r="926" ht="15.75" customHeight="1">
      <c r="B926" s="1126"/>
      <c r="C926" s="1126"/>
      <c r="D926" s="1126"/>
      <c r="E926" s="1126"/>
      <c r="F926" s="1126"/>
      <c r="G926" s="1126"/>
      <c r="H926" s="1126"/>
      <c r="I926" s="1126"/>
      <c r="J926" s="1126"/>
      <c r="K926" s="1126"/>
      <c r="L926" s="1126"/>
      <c r="M926" s="1126"/>
      <c r="N926" s="1126"/>
      <c r="O926" s="1126"/>
      <c r="P926" s="1126"/>
      <c r="Q926" s="1126"/>
      <c r="R926" s="1126"/>
      <c r="S926" s="1126"/>
      <c r="T926" s="1126"/>
      <c r="U926" s="1126"/>
      <c r="V926" s="1126"/>
      <c r="W926" s="1126"/>
      <c r="X926" s="1126"/>
      <c r="Y926" s="1126"/>
      <c r="Z926" s="1126"/>
      <c r="AA926" s="1126"/>
      <c r="AB926" s="1126"/>
    </row>
    <row r="927" ht="15.75" customHeight="1">
      <c r="B927" s="1126"/>
      <c r="C927" s="1126"/>
      <c r="D927" s="1126"/>
      <c r="E927" s="1126"/>
      <c r="F927" s="1126"/>
      <c r="G927" s="1126"/>
      <c r="H927" s="1126"/>
      <c r="I927" s="1126"/>
      <c r="J927" s="1126"/>
      <c r="K927" s="1126"/>
      <c r="L927" s="1126"/>
      <c r="M927" s="1126"/>
      <c r="N927" s="1126"/>
      <c r="O927" s="1126"/>
      <c r="P927" s="1126"/>
      <c r="Q927" s="1126"/>
      <c r="R927" s="1126"/>
      <c r="S927" s="1126"/>
      <c r="T927" s="1126"/>
      <c r="U927" s="1126"/>
      <c r="V927" s="1126"/>
      <c r="W927" s="1126"/>
      <c r="X927" s="1126"/>
      <c r="Y927" s="1126"/>
      <c r="Z927" s="1126"/>
      <c r="AA927" s="1126"/>
      <c r="AB927" s="1126"/>
    </row>
    <row r="928" ht="15.75" customHeight="1">
      <c r="B928" s="1126"/>
      <c r="C928" s="1126"/>
      <c r="D928" s="1126"/>
      <c r="E928" s="1126"/>
      <c r="F928" s="1126"/>
      <c r="G928" s="1126"/>
      <c r="H928" s="1126"/>
      <c r="I928" s="1126"/>
      <c r="J928" s="1126"/>
      <c r="K928" s="1126"/>
      <c r="L928" s="1126"/>
      <c r="M928" s="1126"/>
      <c r="N928" s="1126"/>
      <c r="O928" s="1126"/>
      <c r="P928" s="1126"/>
      <c r="Q928" s="1126"/>
      <c r="R928" s="1126"/>
      <c r="S928" s="1126"/>
      <c r="T928" s="1126"/>
      <c r="U928" s="1126"/>
      <c r="V928" s="1126"/>
      <c r="W928" s="1126"/>
      <c r="X928" s="1126"/>
      <c r="Y928" s="1126"/>
      <c r="Z928" s="1126"/>
      <c r="AA928" s="1126"/>
      <c r="AB928" s="1126"/>
    </row>
    <row r="929" ht="15.75" customHeight="1">
      <c r="B929" s="1126"/>
      <c r="C929" s="1126"/>
      <c r="D929" s="1126"/>
      <c r="E929" s="1126"/>
      <c r="F929" s="1126"/>
      <c r="G929" s="1126"/>
      <c r="H929" s="1126"/>
      <c r="I929" s="1126"/>
      <c r="J929" s="1126"/>
      <c r="K929" s="1126"/>
      <c r="L929" s="1126"/>
      <c r="M929" s="1126"/>
      <c r="N929" s="1126"/>
      <c r="O929" s="1126"/>
      <c r="P929" s="1126"/>
      <c r="Q929" s="1126"/>
      <c r="R929" s="1126"/>
      <c r="S929" s="1126"/>
      <c r="T929" s="1126"/>
      <c r="U929" s="1126"/>
      <c r="V929" s="1126"/>
      <c r="W929" s="1126"/>
      <c r="X929" s="1126"/>
      <c r="Y929" s="1126"/>
      <c r="Z929" s="1126"/>
      <c r="AA929" s="1126"/>
      <c r="AB929" s="1126"/>
    </row>
    <row r="930" ht="15.75" customHeight="1">
      <c r="B930" s="1126"/>
      <c r="C930" s="1126"/>
      <c r="D930" s="1126"/>
      <c r="E930" s="1126"/>
      <c r="F930" s="1126"/>
      <c r="G930" s="1126"/>
      <c r="H930" s="1126"/>
      <c r="I930" s="1126"/>
      <c r="J930" s="1126"/>
      <c r="K930" s="1126"/>
      <c r="L930" s="1126"/>
      <c r="M930" s="1126"/>
      <c r="N930" s="1126"/>
      <c r="O930" s="1126"/>
      <c r="P930" s="1126"/>
      <c r="Q930" s="1126"/>
      <c r="R930" s="1126"/>
      <c r="S930" s="1126"/>
      <c r="T930" s="1126"/>
      <c r="U930" s="1126"/>
      <c r="V930" s="1126"/>
      <c r="W930" s="1126"/>
      <c r="X930" s="1126"/>
      <c r="Y930" s="1126"/>
      <c r="Z930" s="1126"/>
      <c r="AA930" s="1126"/>
      <c r="AB930" s="1126"/>
    </row>
    <row r="931" ht="15.75" customHeight="1">
      <c r="B931" s="1126"/>
      <c r="C931" s="1126"/>
      <c r="D931" s="1126"/>
      <c r="E931" s="1126"/>
      <c r="F931" s="1126"/>
      <c r="G931" s="1126"/>
      <c r="H931" s="1126"/>
      <c r="I931" s="1126"/>
      <c r="J931" s="1126"/>
      <c r="K931" s="1126"/>
      <c r="L931" s="1126"/>
      <c r="M931" s="1126"/>
      <c r="N931" s="1126"/>
      <c r="O931" s="1126"/>
      <c r="P931" s="1126"/>
      <c r="Q931" s="1126"/>
      <c r="R931" s="1126"/>
      <c r="S931" s="1126"/>
      <c r="T931" s="1126"/>
      <c r="U931" s="1126"/>
      <c r="V931" s="1126"/>
      <c r="W931" s="1126"/>
      <c r="X931" s="1126"/>
      <c r="Y931" s="1126"/>
      <c r="Z931" s="1126"/>
      <c r="AA931" s="1126"/>
      <c r="AB931" s="1126"/>
    </row>
    <row r="932" ht="15.75" customHeight="1">
      <c r="B932" s="1126"/>
      <c r="C932" s="1126"/>
      <c r="D932" s="1126"/>
      <c r="E932" s="1126"/>
      <c r="F932" s="1126"/>
      <c r="G932" s="1126"/>
      <c r="H932" s="1126"/>
      <c r="I932" s="1126"/>
      <c r="J932" s="1126"/>
      <c r="K932" s="1126"/>
      <c r="L932" s="1126"/>
      <c r="M932" s="1126"/>
      <c r="N932" s="1126"/>
      <c r="O932" s="1126"/>
      <c r="P932" s="1126"/>
      <c r="Q932" s="1126"/>
      <c r="R932" s="1126"/>
      <c r="S932" s="1126"/>
      <c r="T932" s="1126"/>
      <c r="U932" s="1126"/>
      <c r="V932" s="1126"/>
      <c r="W932" s="1126"/>
      <c r="X932" s="1126"/>
      <c r="Y932" s="1126"/>
      <c r="Z932" s="1126"/>
      <c r="AA932" s="1126"/>
      <c r="AB932" s="1126"/>
    </row>
    <row r="933" ht="15.75" customHeight="1">
      <c r="B933" s="1126"/>
      <c r="C933" s="1126"/>
      <c r="D933" s="1126"/>
      <c r="E933" s="1126"/>
      <c r="F933" s="1126"/>
      <c r="G933" s="1126"/>
      <c r="H933" s="1126"/>
      <c r="I933" s="1126"/>
      <c r="J933" s="1126"/>
      <c r="K933" s="1126"/>
      <c r="L933" s="1126"/>
      <c r="M933" s="1126"/>
      <c r="N933" s="1126"/>
      <c r="O933" s="1126"/>
      <c r="P933" s="1126"/>
      <c r="Q933" s="1126"/>
      <c r="R933" s="1126"/>
      <c r="S933" s="1126"/>
      <c r="T933" s="1126"/>
      <c r="U933" s="1126"/>
      <c r="V933" s="1126"/>
      <c r="W933" s="1126"/>
      <c r="X933" s="1126"/>
      <c r="Y933" s="1126"/>
      <c r="Z933" s="1126"/>
      <c r="AA933" s="1126"/>
      <c r="AB933" s="1126"/>
    </row>
    <row r="934" ht="15.75" customHeight="1">
      <c r="B934" s="1126"/>
      <c r="C934" s="1126"/>
      <c r="D934" s="1126"/>
      <c r="E934" s="1126"/>
      <c r="F934" s="1126"/>
      <c r="G934" s="1126"/>
      <c r="H934" s="1126"/>
      <c r="I934" s="1126"/>
      <c r="J934" s="1126"/>
      <c r="K934" s="1126"/>
      <c r="L934" s="1126"/>
      <c r="M934" s="1126"/>
      <c r="N934" s="1126"/>
      <c r="O934" s="1126"/>
      <c r="P934" s="1126"/>
      <c r="Q934" s="1126"/>
      <c r="R934" s="1126"/>
      <c r="S934" s="1126"/>
      <c r="T934" s="1126"/>
      <c r="U934" s="1126"/>
      <c r="V934" s="1126"/>
      <c r="W934" s="1126"/>
      <c r="X934" s="1126"/>
      <c r="Y934" s="1126"/>
      <c r="Z934" s="1126"/>
      <c r="AA934" s="1126"/>
      <c r="AB934" s="1126"/>
    </row>
    <row r="935" ht="15.75" customHeight="1">
      <c r="B935" s="1126"/>
      <c r="C935" s="1126"/>
      <c r="D935" s="1126"/>
      <c r="E935" s="1126"/>
      <c r="F935" s="1126"/>
      <c r="G935" s="1126"/>
      <c r="H935" s="1126"/>
      <c r="I935" s="1126"/>
      <c r="J935" s="1126"/>
      <c r="K935" s="1126"/>
      <c r="L935" s="1126"/>
      <c r="M935" s="1126"/>
      <c r="N935" s="1126"/>
      <c r="O935" s="1126"/>
      <c r="P935" s="1126"/>
      <c r="Q935" s="1126"/>
      <c r="R935" s="1126"/>
      <c r="S935" s="1126"/>
      <c r="T935" s="1126"/>
      <c r="U935" s="1126"/>
      <c r="V935" s="1126"/>
      <c r="W935" s="1126"/>
      <c r="X935" s="1126"/>
      <c r="Y935" s="1126"/>
      <c r="Z935" s="1126"/>
      <c r="AA935" s="1126"/>
      <c r="AB935" s="1126"/>
    </row>
    <row r="936" ht="15.75" customHeight="1">
      <c r="B936" s="1126"/>
      <c r="C936" s="1126"/>
      <c r="D936" s="1126"/>
      <c r="E936" s="1126"/>
      <c r="F936" s="1126"/>
      <c r="G936" s="1126"/>
      <c r="H936" s="1126"/>
      <c r="I936" s="1126"/>
      <c r="J936" s="1126"/>
      <c r="K936" s="1126"/>
      <c r="L936" s="1126"/>
      <c r="M936" s="1126"/>
      <c r="N936" s="1126"/>
      <c r="O936" s="1126"/>
      <c r="P936" s="1126"/>
      <c r="Q936" s="1126"/>
      <c r="R936" s="1126"/>
      <c r="S936" s="1126"/>
      <c r="T936" s="1126"/>
      <c r="U936" s="1126"/>
      <c r="V936" s="1126"/>
      <c r="W936" s="1126"/>
      <c r="X936" s="1126"/>
      <c r="Y936" s="1126"/>
      <c r="Z936" s="1126"/>
      <c r="AA936" s="1126"/>
      <c r="AB936" s="1126"/>
    </row>
    <row r="937" ht="15.75" customHeight="1">
      <c r="B937" s="1126"/>
      <c r="C937" s="1126"/>
      <c r="D937" s="1126"/>
      <c r="E937" s="1126"/>
      <c r="F937" s="1126"/>
      <c r="G937" s="1126"/>
      <c r="H937" s="1126"/>
      <c r="I937" s="1126"/>
      <c r="J937" s="1126"/>
      <c r="K937" s="1126"/>
      <c r="L937" s="1126"/>
      <c r="M937" s="1126"/>
      <c r="N937" s="1126"/>
      <c r="O937" s="1126"/>
      <c r="P937" s="1126"/>
      <c r="Q937" s="1126"/>
      <c r="R937" s="1126"/>
      <c r="S937" s="1126"/>
      <c r="T937" s="1126"/>
      <c r="U937" s="1126"/>
      <c r="V937" s="1126"/>
      <c r="W937" s="1126"/>
      <c r="X937" s="1126"/>
      <c r="Y937" s="1126"/>
      <c r="Z937" s="1126"/>
      <c r="AA937" s="1126"/>
      <c r="AB937" s="1126"/>
    </row>
    <row r="938" ht="15.75" customHeight="1">
      <c r="B938" s="1126"/>
      <c r="C938" s="1126"/>
      <c r="D938" s="1126"/>
      <c r="E938" s="1126"/>
      <c r="F938" s="1126"/>
      <c r="G938" s="1126"/>
      <c r="H938" s="1126"/>
      <c r="I938" s="1126"/>
      <c r="J938" s="1126"/>
      <c r="K938" s="1126"/>
      <c r="L938" s="1126"/>
      <c r="M938" s="1126"/>
      <c r="N938" s="1126"/>
      <c r="O938" s="1126"/>
      <c r="P938" s="1126"/>
      <c r="Q938" s="1126"/>
      <c r="R938" s="1126"/>
      <c r="S938" s="1126"/>
      <c r="T938" s="1126"/>
      <c r="U938" s="1126"/>
      <c r="V938" s="1126"/>
      <c r="W938" s="1126"/>
      <c r="X938" s="1126"/>
      <c r="Y938" s="1126"/>
      <c r="Z938" s="1126"/>
      <c r="AA938" s="1126"/>
      <c r="AB938" s="1126"/>
    </row>
    <row r="939" ht="15.75" customHeight="1">
      <c r="B939" s="1126"/>
      <c r="C939" s="1126"/>
      <c r="D939" s="1126"/>
      <c r="E939" s="1126"/>
      <c r="F939" s="1126"/>
      <c r="G939" s="1126"/>
      <c r="H939" s="1126"/>
      <c r="I939" s="1126"/>
      <c r="J939" s="1126"/>
      <c r="K939" s="1126"/>
      <c r="L939" s="1126"/>
      <c r="M939" s="1126"/>
      <c r="N939" s="1126"/>
      <c r="O939" s="1126"/>
      <c r="P939" s="1126"/>
      <c r="Q939" s="1126"/>
      <c r="R939" s="1126"/>
      <c r="S939" s="1126"/>
      <c r="T939" s="1126"/>
      <c r="U939" s="1126"/>
      <c r="V939" s="1126"/>
      <c r="W939" s="1126"/>
      <c r="X939" s="1126"/>
      <c r="Y939" s="1126"/>
      <c r="Z939" s="1126"/>
      <c r="AA939" s="1126"/>
      <c r="AB939" s="1126"/>
    </row>
    <row r="940" ht="15.75" customHeight="1">
      <c r="B940" s="1126"/>
      <c r="C940" s="1126"/>
      <c r="D940" s="1126"/>
      <c r="E940" s="1126"/>
      <c r="F940" s="1126"/>
      <c r="G940" s="1126"/>
      <c r="H940" s="1126"/>
      <c r="I940" s="1126"/>
      <c r="J940" s="1126"/>
      <c r="K940" s="1126"/>
      <c r="L940" s="1126"/>
      <c r="M940" s="1126"/>
      <c r="N940" s="1126"/>
      <c r="O940" s="1126"/>
      <c r="P940" s="1126"/>
      <c r="Q940" s="1126"/>
      <c r="R940" s="1126"/>
      <c r="S940" s="1126"/>
      <c r="T940" s="1126"/>
      <c r="U940" s="1126"/>
      <c r="V940" s="1126"/>
      <c r="W940" s="1126"/>
      <c r="X940" s="1126"/>
      <c r="Y940" s="1126"/>
      <c r="Z940" s="1126"/>
      <c r="AA940" s="1126"/>
      <c r="AB940" s="1126"/>
    </row>
    <row r="941" ht="15.75" customHeight="1">
      <c r="B941" s="1126"/>
      <c r="C941" s="1126"/>
      <c r="D941" s="1126"/>
      <c r="E941" s="1126"/>
      <c r="F941" s="1126"/>
      <c r="G941" s="1126"/>
      <c r="H941" s="1126"/>
      <c r="I941" s="1126"/>
      <c r="J941" s="1126"/>
      <c r="K941" s="1126"/>
      <c r="L941" s="1126"/>
      <c r="M941" s="1126"/>
      <c r="N941" s="1126"/>
      <c r="O941" s="1126"/>
      <c r="P941" s="1126"/>
      <c r="Q941" s="1126"/>
      <c r="R941" s="1126"/>
      <c r="S941" s="1126"/>
      <c r="T941" s="1126"/>
      <c r="U941" s="1126"/>
      <c r="V941" s="1126"/>
      <c r="W941" s="1126"/>
      <c r="X941" s="1126"/>
      <c r="Y941" s="1126"/>
      <c r="Z941" s="1126"/>
      <c r="AA941" s="1126"/>
      <c r="AB941" s="1126"/>
    </row>
    <row r="942" ht="15.75" customHeight="1">
      <c r="B942" s="1126"/>
      <c r="C942" s="1126"/>
      <c r="D942" s="1126"/>
      <c r="E942" s="1126"/>
      <c r="F942" s="1126"/>
      <c r="G942" s="1126"/>
      <c r="H942" s="1126"/>
      <c r="I942" s="1126"/>
      <c r="J942" s="1126"/>
      <c r="K942" s="1126"/>
      <c r="L942" s="1126"/>
      <c r="M942" s="1126"/>
      <c r="N942" s="1126"/>
      <c r="O942" s="1126"/>
      <c r="P942" s="1126"/>
      <c r="Q942" s="1126"/>
      <c r="R942" s="1126"/>
      <c r="S942" s="1126"/>
      <c r="T942" s="1126"/>
      <c r="U942" s="1126"/>
      <c r="V942" s="1126"/>
      <c r="W942" s="1126"/>
      <c r="X942" s="1126"/>
      <c r="Y942" s="1126"/>
      <c r="Z942" s="1126"/>
      <c r="AA942" s="1126"/>
      <c r="AB942" s="1126"/>
    </row>
    <row r="943" ht="15.75" customHeight="1">
      <c r="B943" s="1126"/>
      <c r="C943" s="1126"/>
      <c r="D943" s="1126"/>
      <c r="E943" s="1126"/>
      <c r="F943" s="1126"/>
      <c r="G943" s="1126"/>
      <c r="H943" s="1126"/>
      <c r="I943" s="1126"/>
      <c r="J943" s="1126"/>
      <c r="K943" s="1126"/>
      <c r="L943" s="1126"/>
      <c r="M943" s="1126"/>
      <c r="N943" s="1126"/>
      <c r="O943" s="1126"/>
      <c r="P943" s="1126"/>
      <c r="Q943" s="1126"/>
      <c r="R943" s="1126"/>
      <c r="S943" s="1126"/>
      <c r="T943" s="1126"/>
      <c r="U943" s="1126"/>
      <c r="V943" s="1126"/>
      <c r="W943" s="1126"/>
      <c r="X943" s="1126"/>
      <c r="Y943" s="1126"/>
      <c r="Z943" s="1126"/>
      <c r="AA943" s="1126"/>
      <c r="AB943" s="1126"/>
    </row>
    <row r="944" ht="15.75" customHeight="1">
      <c r="B944" s="1126"/>
      <c r="C944" s="1126"/>
      <c r="D944" s="1126"/>
      <c r="E944" s="1126"/>
      <c r="F944" s="1126"/>
      <c r="G944" s="1126"/>
      <c r="H944" s="1126"/>
      <c r="I944" s="1126"/>
      <c r="J944" s="1126"/>
      <c r="K944" s="1126"/>
      <c r="L944" s="1126"/>
      <c r="M944" s="1126"/>
      <c r="N944" s="1126"/>
      <c r="O944" s="1126"/>
      <c r="P944" s="1126"/>
      <c r="Q944" s="1126"/>
      <c r="R944" s="1126"/>
      <c r="S944" s="1126"/>
      <c r="T944" s="1126"/>
      <c r="U944" s="1126"/>
      <c r="V944" s="1126"/>
      <c r="W944" s="1126"/>
      <c r="X944" s="1126"/>
      <c r="Y944" s="1126"/>
      <c r="Z944" s="1126"/>
      <c r="AA944" s="1126"/>
      <c r="AB944" s="1126"/>
    </row>
    <row r="945" ht="15.75" customHeight="1">
      <c r="B945" s="1126"/>
      <c r="C945" s="1126"/>
      <c r="D945" s="1126"/>
      <c r="E945" s="1126"/>
      <c r="F945" s="1126"/>
      <c r="G945" s="1126"/>
      <c r="H945" s="1126"/>
      <c r="I945" s="1126"/>
      <c r="J945" s="1126"/>
      <c r="K945" s="1126"/>
      <c r="L945" s="1126"/>
      <c r="M945" s="1126"/>
      <c r="N945" s="1126"/>
      <c r="O945" s="1126"/>
      <c r="P945" s="1126"/>
      <c r="Q945" s="1126"/>
      <c r="R945" s="1126"/>
      <c r="S945" s="1126"/>
      <c r="T945" s="1126"/>
      <c r="U945" s="1126"/>
      <c r="V945" s="1126"/>
      <c r="W945" s="1126"/>
      <c r="X945" s="1126"/>
      <c r="Y945" s="1126"/>
      <c r="Z945" s="1126"/>
      <c r="AA945" s="1126"/>
      <c r="AB945" s="1126"/>
    </row>
    <row r="946" ht="15.75" customHeight="1">
      <c r="B946" s="1126"/>
      <c r="C946" s="1126"/>
      <c r="D946" s="1126"/>
      <c r="E946" s="1126"/>
      <c r="F946" s="1126"/>
      <c r="G946" s="1126"/>
      <c r="H946" s="1126"/>
      <c r="I946" s="1126"/>
      <c r="J946" s="1126"/>
      <c r="K946" s="1126"/>
      <c r="L946" s="1126"/>
      <c r="M946" s="1126"/>
      <c r="N946" s="1126"/>
      <c r="O946" s="1126"/>
      <c r="P946" s="1126"/>
      <c r="Q946" s="1126"/>
      <c r="R946" s="1126"/>
      <c r="S946" s="1126"/>
      <c r="T946" s="1126"/>
      <c r="U946" s="1126"/>
      <c r="V946" s="1126"/>
      <c r="W946" s="1126"/>
      <c r="X946" s="1126"/>
      <c r="Y946" s="1126"/>
      <c r="Z946" s="1126"/>
      <c r="AA946" s="1126"/>
      <c r="AB946" s="1126"/>
    </row>
    <row r="947" ht="15.75" customHeight="1">
      <c r="B947" s="1126"/>
      <c r="C947" s="1126"/>
      <c r="D947" s="1126"/>
      <c r="E947" s="1126"/>
      <c r="F947" s="1126"/>
      <c r="G947" s="1126"/>
      <c r="H947" s="1126"/>
      <c r="I947" s="1126"/>
      <c r="J947" s="1126"/>
      <c r="K947" s="1126"/>
      <c r="L947" s="1126"/>
      <c r="M947" s="1126"/>
      <c r="N947" s="1126"/>
      <c r="O947" s="1126"/>
      <c r="P947" s="1126"/>
      <c r="Q947" s="1126"/>
      <c r="R947" s="1126"/>
      <c r="S947" s="1126"/>
      <c r="T947" s="1126"/>
      <c r="U947" s="1126"/>
      <c r="V947" s="1126"/>
      <c r="W947" s="1126"/>
      <c r="X947" s="1126"/>
      <c r="Y947" s="1126"/>
      <c r="Z947" s="1126"/>
      <c r="AA947" s="1126"/>
      <c r="AB947" s="1126"/>
    </row>
    <row r="948" ht="15.75" customHeight="1">
      <c r="B948" s="1126"/>
      <c r="C948" s="1126"/>
      <c r="D948" s="1126"/>
      <c r="E948" s="1126"/>
      <c r="F948" s="1126"/>
      <c r="G948" s="1126"/>
      <c r="H948" s="1126"/>
      <c r="I948" s="1126"/>
      <c r="J948" s="1126"/>
      <c r="K948" s="1126"/>
      <c r="L948" s="1126"/>
      <c r="M948" s="1126"/>
      <c r="N948" s="1126"/>
      <c r="O948" s="1126"/>
      <c r="P948" s="1126"/>
      <c r="Q948" s="1126"/>
      <c r="R948" s="1126"/>
      <c r="S948" s="1126"/>
      <c r="T948" s="1126"/>
      <c r="U948" s="1126"/>
      <c r="V948" s="1126"/>
      <c r="W948" s="1126"/>
      <c r="X948" s="1126"/>
      <c r="Y948" s="1126"/>
      <c r="Z948" s="1126"/>
      <c r="AA948" s="1126"/>
      <c r="AB948" s="1126"/>
    </row>
    <row r="949" ht="15.75" customHeight="1">
      <c r="B949" s="1126"/>
      <c r="C949" s="1126"/>
      <c r="D949" s="1126"/>
      <c r="E949" s="1126"/>
      <c r="F949" s="1126"/>
      <c r="G949" s="1126"/>
      <c r="H949" s="1126"/>
      <c r="I949" s="1126"/>
      <c r="J949" s="1126"/>
      <c r="K949" s="1126"/>
      <c r="L949" s="1126"/>
      <c r="M949" s="1126"/>
      <c r="N949" s="1126"/>
      <c r="O949" s="1126"/>
      <c r="P949" s="1126"/>
      <c r="Q949" s="1126"/>
      <c r="R949" s="1126"/>
      <c r="S949" s="1126"/>
      <c r="T949" s="1126"/>
      <c r="U949" s="1126"/>
      <c r="V949" s="1126"/>
      <c r="W949" s="1126"/>
      <c r="X949" s="1126"/>
      <c r="Y949" s="1126"/>
      <c r="Z949" s="1126"/>
      <c r="AA949" s="1126"/>
      <c r="AB949" s="1126"/>
    </row>
    <row r="950" ht="15.75" customHeight="1">
      <c r="B950" s="1126"/>
      <c r="C950" s="1126"/>
      <c r="D950" s="1126"/>
      <c r="E950" s="1126"/>
      <c r="F950" s="1126"/>
      <c r="G950" s="1126"/>
      <c r="H950" s="1126"/>
      <c r="I950" s="1126"/>
      <c r="J950" s="1126"/>
      <c r="K950" s="1126"/>
      <c r="L950" s="1126"/>
      <c r="M950" s="1126"/>
      <c r="N950" s="1126"/>
      <c r="O950" s="1126"/>
      <c r="P950" s="1126"/>
      <c r="Q950" s="1126"/>
      <c r="R950" s="1126"/>
      <c r="S950" s="1126"/>
      <c r="T950" s="1126"/>
      <c r="U950" s="1126"/>
      <c r="V950" s="1126"/>
      <c r="W950" s="1126"/>
      <c r="X950" s="1126"/>
      <c r="Y950" s="1126"/>
      <c r="Z950" s="1126"/>
      <c r="AA950" s="1126"/>
      <c r="AB950" s="1126"/>
    </row>
    <row r="951" ht="15.75" customHeight="1">
      <c r="B951" s="1126"/>
      <c r="C951" s="1126"/>
      <c r="D951" s="1126"/>
      <c r="E951" s="1126"/>
      <c r="F951" s="1126"/>
      <c r="G951" s="1126"/>
      <c r="H951" s="1126"/>
      <c r="I951" s="1126"/>
      <c r="J951" s="1126"/>
      <c r="K951" s="1126"/>
      <c r="L951" s="1126"/>
      <c r="M951" s="1126"/>
      <c r="N951" s="1126"/>
      <c r="O951" s="1126"/>
      <c r="P951" s="1126"/>
      <c r="Q951" s="1126"/>
      <c r="R951" s="1126"/>
      <c r="S951" s="1126"/>
      <c r="T951" s="1126"/>
      <c r="U951" s="1126"/>
      <c r="V951" s="1126"/>
      <c r="W951" s="1126"/>
      <c r="X951" s="1126"/>
      <c r="Y951" s="1126"/>
      <c r="Z951" s="1126"/>
      <c r="AA951" s="1126"/>
      <c r="AB951" s="1126"/>
    </row>
    <row r="952" ht="15.75" customHeight="1">
      <c r="B952" s="1126"/>
      <c r="C952" s="1126"/>
      <c r="D952" s="1126"/>
      <c r="E952" s="1126"/>
      <c r="F952" s="1126"/>
      <c r="G952" s="1126"/>
      <c r="H952" s="1126"/>
      <c r="I952" s="1126"/>
      <c r="J952" s="1126"/>
      <c r="K952" s="1126"/>
      <c r="L952" s="1126"/>
      <c r="M952" s="1126"/>
      <c r="N952" s="1126"/>
      <c r="O952" s="1126"/>
      <c r="P952" s="1126"/>
      <c r="Q952" s="1126"/>
      <c r="R952" s="1126"/>
      <c r="S952" s="1126"/>
      <c r="T952" s="1126"/>
      <c r="U952" s="1126"/>
      <c r="V952" s="1126"/>
      <c r="W952" s="1126"/>
      <c r="X952" s="1126"/>
      <c r="Y952" s="1126"/>
      <c r="Z952" s="1126"/>
      <c r="AA952" s="1126"/>
      <c r="AB952" s="1126"/>
    </row>
    <row r="953" ht="15.75" customHeight="1">
      <c r="B953" s="1126"/>
      <c r="C953" s="1126"/>
      <c r="D953" s="1126"/>
      <c r="E953" s="1126"/>
      <c r="F953" s="1126"/>
      <c r="G953" s="1126"/>
      <c r="H953" s="1126"/>
      <c r="I953" s="1126"/>
      <c r="J953" s="1126"/>
      <c r="K953" s="1126"/>
      <c r="L953" s="1126"/>
      <c r="M953" s="1126"/>
      <c r="N953" s="1126"/>
      <c r="O953" s="1126"/>
      <c r="P953" s="1126"/>
      <c r="Q953" s="1126"/>
      <c r="R953" s="1126"/>
      <c r="S953" s="1126"/>
      <c r="T953" s="1126"/>
      <c r="U953" s="1126"/>
      <c r="V953" s="1126"/>
      <c r="W953" s="1126"/>
      <c r="X953" s="1126"/>
      <c r="Y953" s="1126"/>
      <c r="Z953" s="1126"/>
      <c r="AA953" s="1126"/>
      <c r="AB953" s="1126"/>
    </row>
    <row r="954" ht="15.75" customHeight="1">
      <c r="B954" s="1126"/>
      <c r="C954" s="1126"/>
      <c r="D954" s="1126"/>
      <c r="E954" s="1126"/>
      <c r="F954" s="1126"/>
      <c r="G954" s="1126"/>
      <c r="H954" s="1126"/>
      <c r="I954" s="1126"/>
      <c r="J954" s="1126"/>
      <c r="K954" s="1126"/>
      <c r="L954" s="1126"/>
      <c r="M954" s="1126"/>
      <c r="N954" s="1126"/>
      <c r="O954" s="1126"/>
      <c r="P954" s="1126"/>
      <c r="Q954" s="1126"/>
      <c r="R954" s="1126"/>
      <c r="S954" s="1126"/>
      <c r="T954" s="1126"/>
      <c r="U954" s="1126"/>
      <c r="V954" s="1126"/>
      <c r="W954" s="1126"/>
      <c r="X954" s="1126"/>
      <c r="Y954" s="1126"/>
      <c r="Z954" s="1126"/>
      <c r="AA954" s="1126"/>
      <c r="AB954" s="1126"/>
    </row>
    <row r="955" ht="15.75" customHeight="1">
      <c r="B955" s="1126"/>
      <c r="C955" s="1126"/>
      <c r="D955" s="1126"/>
      <c r="E955" s="1126"/>
      <c r="F955" s="1126"/>
      <c r="G955" s="1126"/>
      <c r="H955" s="1126"/>
      <c r="I955" s="1126"/>
      <c r="J955" s="1126"/>
      <c r="K955" s="1126"/>
      <c r="L955" s="1126"/>
      <c r="M955" s="1126"/>
      <c r="N955" s="1126"/>
      <c r="O955" s="1126"/>
      <c r="P955" s="1126"/>
      <c r="Q955" s="1126"/>
      <c r="R955" s="1126"/>
      <c r="S955" s="1126"/>
      <c r="T955" s="1126"/>
      <c r="U955" s="1126"/>
      <c r="V955" s="1126"/>
      <c r="W955" s="1126"/>
      <c r="X955" s="1126"/>
      <c r="Y955" s="1126"/>
      <c r="Z955" s="1126"/>
      <c r="AA955" s="1126"/>
      <c r="AB955" s="1126"/>
    </row>
    <row r="956" ht="15.75" customHeight="1">
      <c r="B956" s="1126"/>
      <c r="C956" s="1126"/>
      <c r="D956" s="1126"/>
      <c r="E956" s="1126"/>
      <c r="F956" s="1126"/>
      <c r="G956" s="1126"/>
      <c r="H956" s="1126"/>
      <c r="I956" s="1126"/>
      <c r="J956" s="1126"/>
      <c r="K956" s="1126"/>
      <c r="L956" s="1126"/>
      <c r="M956" s="1126"/>
      <c r="N956" s="1126"/>
      <c r="O956" s="1126"/>
      <c r="P956" s="1126"/>
      <c r="Q956" s="1126"/>
      <c r="R956" s="1126"/>
      <c r="S956" s="1126"/>
      <c r="T956" s="1126"/>
      <c r="U956" s="1126"/>
      <c r="V956" s="1126"/>
      <c r="W956" s="1126"/>
      <c r="X956" s="1126"/>
      <c r="Y956" s="1126"/>
      <c r="Z956" s="1126"/>
      <c r="AA956" s="1126"/>
      <c r="AB956" s="1126"/>
    </row>
    <row r="957" ht="15.75" customHeight="1">
      <c r="B957" s="1126"/>
      <c r="C957" s="1126"/>
      <c r="D957" s="1126"/>
      <c r="E957" s="1126"/>
      <c r="F957" s="1126"/>
      <c r="G957" s="1126"/>
      <c r="H957" s="1126"/>
      <c r="I957" s="1126"/>
      <c r="J957" s="1126"/>
      <c r="K957" s="1126"/>
      <c r="L957" s="1126"/>
      <c r="M957" s="1126"/>
      <c r="N957" s="1126"/>
      <c r="O957" s="1126"/>
      <c r="P957" s="1126"/>
      <c r="Q957" s="1126"/>
      <c r="R957" s="1126"/>
      <c r="S957" s="1126"/>
      <c r="T957" s="1126"/>
      <c r="U957" s="1126"/>
      <c r="V957" s="1126"/>
      <c r="W957" s="1126"/>
      <c r="X957" s="1126"/>
      <c r="Y957" s="1126"/>
      <c r="Z957" s="1126"/>
      <c r="AA957" s="1126"/>
      <c r="AB957" s="1126"/>
    </row>
    <row r="958" ht="15.75" customHeight="1">
      <c r="B958" s="1126"/>
      <c r="C958" s="1126"/>
      <c r="D958" s="1126"/>
      <c r="E958" s="1126"/>
      <c r="F958" s="1126"/>
      <c r="G958" s="1126"/>
      <c r="H958" s="1126"/>
      <c r="I958" s="1126"/>
      <c r="J958" s="1126"/>
      <c r="K958" s="1126"/>
      <c r="L958" s="1126"/>
      <c r="M958" s="1126"/>
      <c r="N958" s="1126"/>
      <c r="O958" s="1126"/>
      <c r="P958" s="1126"/>
      <c r="Q958" s="1126"/>
      <c r="R958" s="1126"/>
      <c r="S958" s="1126"/>
      <c r="T958" s="1126"/>
      <c r="U958" s="1126"/>
      <c r="V958" s="1126"/>
      <c r="W958" s="1126"/>
      <c r="X958" s="1126"/>
      <c r="Y958" s="1126"/>
      <c r="Z958" s="1126"/>
      <c r="AA958" s="1126"/>
      <c r="AB958" s="1126"/>
    </row>
    <row r="959" ht="15.75" customHeight="1">
      <c r="B959" s="1126"/>
      <c r="C959" s="1126"/>
      <c r="D959" s="1126"/>
      <c r="E959" s="1126"/>
      <c r="F959" s="1126"/>
      <c r="G959" s="1126"/>
      <c r="H959" s="1126"/>
      <c r="I959" s="1126"/>
      <c r="J959" s="1126"/>
      <c r="K959" s="1126"/>
      <c r="L959" s="1126"/>
      <c r="M959" s="1126"/>
      <c r="N959" s="1126"/>
      <c r="O959" s="1126"/>
      <c r="P959" s="1126"/>
      <c r="Q959" s="1126"/>
      <c r="R959" s="1126"/>
      <c r="S959" s="1126"/>
      <c r="T959" s="1126"/>
      <c r="U959" s="1126"/>
      <c r="V959" s="1126"/>
      <c r="W959" s="1126"/>
      <c r="X959" s="1126"/>
      <c r="Y959" s="1126"/>
      <c r="Z959" s="1126"/>
      <c r="AA959" s="1126"/>
      <c r="AB959" s="1126"/>
    </row>
    <row r="960" ht="15.75" customHeight="1">
      <c r="B960" s="1126"/>
      <c r="C960" s="1126"/>
      <c r="D960" s="1126"/>
      <c r="E960" s="1126"/>
      <c r="F960" s="1126"/>
      <c r="G960" s="1126"/>
      <c r="H960" s="1126"/>
      <c r="I960" s="1126"/>
      <c r="J960" s="1126"/>
      <c r="K960" s="1126"/>
      <c r="L960" s="1126"/>
      <c r="M960" s="1126"/>
      <c r="N960" s="1126"/>
      <c r="O960" s="1126"/>
      <c r="P960" s="1126"/>
      <c r="Q960" s="1126"/>
      <c r="R960" s="1126"/>
      <c r="S960" s="1126"/>
      <c r="T960" s="1126"/>
      <c r="U960" s="1126"/>
      <c r="V960" s="1126"/>
      <c r="W960" s="1126"/>
      <c r="X960" s="1126"/>
      <c r="Y960" s="1126"/>
      <c r="Z960" s="1126"/>
      <c r="AA960" s="1126"/>
      <c r="AB960" s="1126"/>
    </row>
    <row r="961" ht="15.75" customHeight="1">
      <c r="B961" s="1126"/>
      <c r="C961" s="1126"/>
      <c r="D961" s="1126"/>
      <c r="E961" s="1126"/>
      <c r="F961" s="1126"/>
      <c r="G961" s="1126"/>
      <c r="H961" s="1126"/>
      <c r="I961" s="1126"/>
      <c r="J961" s="1126"/>
      <c r="K961" s="1126"/>
      <c r="L961" s="1126"/>
      <c r="M961" s="1126"/>
      <c r="N961" s="1126"/>
      <c r="O961" s="1126"/>
      <c r="P961" s="1126"/>
      <c r="Q961" s="1126"/>
      <c r="R961" s="1126"/>
      <c r="S961" s="1126"/>
      <c r="T961" s="1126"/>
      <c r="U961" s="1126"/>
      <c r="V961" s="1126"/>
      <c r="W961" s="1126"/>
      <c r="X961" s="1126"/>
      <c r="Y961" s="1126"/>
      <c r="Z961" s="1126"/>
      <c r="AA961" s="1126"/>
      <c r="AB961" s="1126"/>
    </row>
    <row r="962" ht="15.75" customHeight="1">
      <c r="B962" s="1126"/>
      <c r="C962" s="1126"/>
      <c r="D962" s="1126"/>
      <c r="E962" s="1126"/>
      <c r="F962" s="1126"/>
      <c r="G962" s="1126"/>
      <c r="H962" s="1126"/>
      <c r="I962" s="1126"/>
      <c r="J962" s="1126"/>
      <c r="K962" s="1126"/>
      <c r="L962" s="1126"/>
      <c r="M962" s="1126"/>
      <c r="N962" s="1126"/>
      <c r="O962" s="1126"/>
      <c r="P962" s="1126"/>
      <c r="Q962" s="1126"/>
      <c r="R962" s="1126"/>
      <c r="S962" s="1126"/>
      <c r="T962" s="1126"/>
      <c r="U962" s="1126"/>
      <c r="V962" s="1126"/>
      <c r="W962" s="1126"/>
      <c r="X962" s="1126"/>
      <c r="Y962" s="1126"/>
      <c r="Z962" s="1126"/>
      <c r="AA962" s="1126"/>
      <c r="AB962" s="1126"/>
    </row>
    <row r="963" ht="15.75" customHeight="1">
      <c r="B963" s="1126"/>
      <c r="C963" s="1126"/>
      <c r="D963" s="1126"/>
      <c r="E963" s="1126"/>
      <c r="F963" s="1126"/>
      <c r="G963" s="1126"/>
      <c r="H963" s="1126"/>
      <c r="I963" s="1126"/>
      <c r="J963" s="1126"/>
      <c r="K963" s="1126"/>
      <c r="L963" s="1126"/>
      <c r="M963" s="1126"/>
      <c r="N963" s="1126"/>
      <c r="O963" s="1126"/>
      <c r="P963" s="1126"/>
      <c r="Q963" s="1126"/>
      <c r="R963" s="1126"/>
      <c r="S963" s="1126"/>
      <c r="T963" s="1126"/>
      <c r="U963" s="1126"/>
      <c r="V963" s="1126"/>
      <c r="W963" s="1126"/>
      <c r="X963" s="1126"/>
      <c r="Y963" s="1126"/>
      <c r="Z963" s="1126"/>
      <c r="AA963" s="1126"/>
      <c r="AB963" s="1126"/>
    </row>
    <row r="964" ht="15.75" customHeight="1">
      <c r="B964" s="1126"/>
      <c r="C964" s="1126"/>
      <c r="D964" s="1126"/>
      <c r="E964" s="1126"/>
      <c r="F964" s="1126"/>
      <c r="G964" s="1126"/>
      <c r="H964" s="1126"/>
      <c r="I964" s="1126"/>
      <c r="J964" s="1126"/>
      <c r="K964" s="1126"/>
      <c r="L964" s="1126"/>
      <c r="M964" s="1126"/>
      <c r="N964" s="1126"/>
      <c r="O964" s="1126"/>
      <c r="P964" s="1126"/>
      <c r="Q964" s="1126"/>
      <c r="R964" s="1126"/>
      <c r="S964" s="1126"/>
      <c r="T964" s="1126"/>
      <c r="U964" s="1126"/>
      <c r="V964" s="1126"/>
      <c r="W964" s="1126"/>
      <c r="X964" s="1126"/>
      <c r="Y964" s="1126"/>
      <c r="Z964" s="1126"/>
      <c r="AA964" s="1126"/>
      <c r="AB964" s="1126"/>
    </row>
    <row r="965" ht="15.75" customHeight="1">
      <c r="B965" s="1126"/>
      <c r="C965" s="1126"/>
      <c r="D965" s="1126"/>
      <c r="E965" s="1126"/>
      <c r="F965" s="1126"/>
      <c r="G965" s="1126"/>
      <c r="H965" s="1126"/>
      <c r="I965" s="1126"/>
      <c r="J965" s="1126"/>
      <c r="K965" s="1126"/>
      <c r="L965" s="1126"/>
      <c r="M965" s="1126"/>
      <c r="N965" s="1126"/>
      <c r="O965" s="1126"/>
      <c r="P965" s="1126"/>
      <c r="Q965" s="1126"/>
      <c r="R965" s="1126"/>
      <c r="S965" s="1126"/>
      <c r="T965" s="1126"/>
      <c r="U965" s="1126"/>
      <c r="V965" s="1126"/>
      <c r="W965" s="1126"/>
      <c r="X965" s="1126"/>
      <c r="Y965" s="1126"/>
      <c r="Z965" s="1126"/>
      <c r="AA965" s="1126"/>
      <c r="AB965" s="1126"/>
    </row>
    <row r="966" ht="15.75" customHeight="1">
      <c r="B966" s="1126"/>
      <c r="C966" s="1126"/>
      <c r="D966" s="1126"/>
      <c r="E966" s="1126"/>
      <c r="F966" s="1126"/>
      <c r="G966" s="1126"/>
      <c r="H966" s="1126"/>
      <c r="I966" s="1126"/>
      <c r="J966" s="1126"/>
      <c r="K966" s="1126"/>
      <c r="L966" s="1126"/>
      <c r="M966" s="1126"/>
      <c r="N966" s="1126"/>
      <c r="O966" s="1126"/>
      <c r="P966" s="1126"/>
      <c r="Q966" s="1126"/>
      <c r="R966" s="1126"/>
      <c r="S966" s="1126"/>
      <c r="T966" s="1126"/>
      <c r="U966" s="1126"/>
      <c r="V966" s="1126"/>
      <c r="W966" s="1126"/>
      <c r="X966" s="1126"/>
      <c r="Y966" s="1126"/>
      <c r="Z966" s="1126"/>
      <c r="AA966" s="1126"/>
      <c r="AB966" s="1126"/>
    </row>
    <row r="967" ht="15.75" customHeight="1">
      <c r="B967" s="1126"/>
      <c r="C967" s="1126"/>
      <c r="D967" s="1126"/>
      <c r="E967" s="1126"/>
      <c r="F967" s="1126"/>
      <c r="G967" s="1126"/>
      <c r="H967" s="1126"/>
      <c r="I967" s="1126"/>
      <c r="J967" s="1126"/>
      <c r="K967" s="1126"/>
      <c r="L967" s="1126"/>
      <c r="M967" s="1126"/>
      <c r="N967" s="1126"/>
      <c r="O967" s="1126"/>
      <c r="P967" s="1126"/>
      <c r="Q967" s="1126"/>
      <c r="R967" s="1126"/>
      <c r="S967" s="1126"/>
      <c r="T967" s="1126"/>
      <c r="U967" s="1126"/>
      <c r="V967" s="1126"/>
      <c r="W967" s="1126"/>
      <c r="X967" s="1126"/>
      <c r="Y967" s="1126"/>
      <c r="Z967" s="1126"/>
      <c r="AA967" s="1126"/>
      <c r="AB967" s="1126"/>
    </row>
    <row r="968" ht="15.75" customHeight="1">
      <c r="B968" s="1126"/>
      <c r="C968" s="1126"/>
      <c r="D968" s="1126"/>
      <c r="E968" s="1126"/>
      <c r="F968" s="1126"/>
      <c r="G968" s="1126"/>
      <c r="H968" s="1126"/>
      <c r="I968" s="1126"/>
      <c r="J968" s="1126"/>
      <c r="K968" s="1126"/>
      <c r="L968" s="1126"/>
      <c r="M968" s="1126"/>
      <c r="N968" s="1126"/>
      <c r="O968" s="1126"/>
      <c r="P968" s="1126"/>
      <c r="Q968" s="1126"/>
      <c r="R968" s="1126"/>
      <c r="S968" s="1126"/>
      <c r="T968" s="1126"/>
      <c r="U968" s="1126"/>
      <c r="V968" s="1126"/>
      <c r="W968" s="1126"/>
      <c r="X968" s="1126"/>
      <c r="Y968" s="1126"/>
      <c r="Z968" s="1126"/>
      <c r="AA968" s="1126"/>
      <c r="AB968" s="1126"/>
    </row>
    <row r="969" ht="15.75" customHeight="1">
      <c r="B969" s="1126"/>
      <c r="C969" s="1126"/>
      <c r="D969" s="1126"/>
      <c r="E969" s="1126"/>
      <c r="F969" s="1126"/>
      <c r="G969" s="1126"/>
      <c r="H969" s="1126"/>
      <c r="I969" s="1126"/>
      <c r="J969" s="1126"/>
      <c r="K969" s="1126"/>
      <c r="L969" s="1126"/>
      <c r="M969" s="1126"/>
      <c r="N969" s="1126"/>
      <c r="O969" s="1126"/>
      <c r="P969" s="1126"/>
      <c r="Q969" s="1126"/>
      <c r="R969" s="1126"/>
      <c r="S969" s="1126"/>
      <c r="T969" s="1126"/>
      <c r="U969" s="1126"/>
      <c r="V969" s="1126"/>
      <c r="W969" s="1126"/>
      <c r="X969" s="1126"/>
      <c r="Y969" s="1126"/>
      <c r="Z969" s="1126"/>
      <c r="AA969" s="1126"/>
      <c r="AB969" s="1126"/>
    </row>
    <row r="970" ht="15.75" customHeight="1">
      <c r="B970" s="1126"/>
      <c r="C970" s="1126"/>
      <c r="D970" s="1126"/>
      <c r="E970" s="1126"/>
      <c r="F970" s="1126"/>
      <c r="G970" s="1126"/>
      <c r="H970" s="1126"/>
      <c r="I970" s="1126"/>
      <c r="J970" s="1126"/>
      <c r="K970" s="1126"/>
      <c r="L970" s="1126"/>
      <c r="M970" s="1126"/>
      <c r="N970" s="1126"/>
      <c r="O970" s="1126"/>
      <c r="P970" s="1126"/>
      <c r="Q970" s="1126"/>
      <c r="R970" s="1126"/>
      <c r="S970" s="1126"/>
      <c r="T970" s="1126"/>
      <c r="U970" s="1126"/>
      <c r="V970" s="1126"/>
      <c r="W970" s="1126"/>
      <c r="X970" s="1126"/>
      <c r="Y970" s="1126"/>
      <c r="Z970" s="1126"/>
      <c r="AA970" s="1126"/>
      <c r="AB970" s="1126"/>
    </row>
    <row r="971" ht="15.75" customHeight="1">
      <c r="B971" s="1126"/>
      <c r="C971" s="1126"/>
      <c r="D971" s="1126"/>
      <c r="E971" s="1126"/>
      <c r="F971" s="1126"/>
      <c r="G971" s="1126"/>
      <c r="H971" s="1126"/>
      <c r="I971" s="1126"/>
      <c r="J971" s="1126"/>
      <c r="K971" s="1126"/>
      <c r="L971" s="1126"/>
      <c r="M971" s="1126"/>
      <c r="N971" s="1126"/>
      <c r="O971" s="1126"/>
      <c r="P971" s="1126"/>
      <c r="Q971" s="1126"/>
      <c r="R971" s="1126"/>
      <c r="S971" s="1126"/>
      <c r="T971" s="1126"/>
      <c r="U971" s="1126"/>
      <c r="V971" s="1126"/>
      <c r="W971" s="1126"/>
      <c r="X971" s="1126"/>
      <c r="Y971" s="1126"/>
      <c r="Z971" s="1126"/>
      <c r="AA971" s="1126"/>
      <c r="AB971" s="1126"/>
    </row>
    <row r="972" ht="15.75" customHeight="1">
      <c r="B972" s="1126"/>
      <c r="C972" s="1126"/>
      <c r="D972" s="1126"/>
      <c r="E972" s="1126"/>
      <c r="F972" s="1126"/>
      <c r="G972" s="1126"/>
      <c r="H972" s="1126"/>
      <c r="I972" s="1126"/>
      <c r="J972" s="1126"/>
      <c r="K972" s="1126"/>
      <c r="L972" s="1126"/>
      <c r="M972" s="1126"/>
      <c r="N972" s="1126"/>
      <c r="O972" s="1126"/>
      <c r="P972" s="1126"/>
      <c r="Q972" s="1126"/>
      <c r="R972" s="1126"/>
      <c r="S972" s="1126"/>
      <c r="T972" s="1126"/>
      <c r="U972" s="1126"/>
      <c r="V972" s="1126"/>
      <c r="W972" s="1126"/>
      <c r="X972" s="1126"/>
      <c r="Y972" s="1126"/>
      <c r="Z972" s="1126"/>
      <c r="AA972" s="1126"/>
      <c r="AB972" s="1126"/>
    </row>
    <row r="973" ht="15.75" customHeight="1">
      <c r="B973" s="1126"/>
      <c r="C973" s="1126"/>
      <c r="D973" s="1126"/>
      <c r="E973" s="1126"/>
      <c r="F973" s="1126"/>
      <c r="G973" s="1126"/>
      <c r="H973" s="1126"/>
      <c r="I973" s="1126"/>
      <c r="J973" s="1126"/>
      <c r="K973" s="1126"/>
      <c r="L973" s="1126"/>
      <c r="M973" s="1126"/>
      <c r="N973" s="1126"/>
      <c r="O973" s="1126"/>
      <c r="P973" s="1126"/>
      <c r="Q973" s="1126"/>
      <c r="R973" s="1126"/>
      <c r="S973" s="1126"/>
      <c r="T973" s="1126"/>
      <c r="U973" s="1126"/>
      <c r="V973" s="1126"/>
      <c r="W973" s="1126"/>
      <c r="X973" s="1126"/>
      <c r="Y973" s="1126"/>
      <c r="Z973" s="1126"/>
      <c r="AA973" s="1126"/>
      <c r="AB973" s="1126"/>
    </row>
    <row r="974" ht="15.75" customHeight="1">
      <c r="B974" s="1126"/>
      <c r="C974" s="1126"/>
      <c r="D974" s="1126"/>
      <c r="E974" s="1126"/>
      <c r="F974" s="1126"/>
      <c r="G974" s="1126"/>
      <c r="H974" s="1126"/>
      <c r="I974" s="1126"/>
      <c r="J974" s="1126"/>
      <c r="K974" s="1126"/>
      <c r="L974" s="1126"/>
      <c r="M974" s="1126"/>
      <c r="N974" s="1126"/>
      <c r="O974" s="1126"/>
      <c r="P974" s="1126"/>
      <c r="Q974" s="1126"/>
      <c r="R974" s="1126"/>
      <c r="S974" s="1126"/>
      <c r="T974" s="1126"/>
      <c r="U974" s="1126"/>
      <c r="V974" s="1126"/>
      <c r="W974" s="1126"/>
      <c r="X974" s="1126"/>
      <c r="Y974" s="1126"/>
      <c r="Z974" s="1126"/>
      <c r="AA974" s="1126"/>
      <c r="AB974" s="1126"/>
    </row>
    <row r="975" ht="15.75" customHeight="1">
      <c r="B975" s="1126"/>
      <c r="C975" s="1126"/>
      <c r="D975" s="1126"/>
      <c r="E975" s="1126"/>
      <c r="F975" s="1126"/>
      <c r="G975" s="1126"/>
      <c r="H975" s="1126"/>
      <c r="I975" s="1126"/>
      <c r="J975" s="1126"/>
      <c r="K975" s="1126"/>
      <c r="L975" s="1126"/>
      <c r="M975" s="1126"/>
      <c r="N975" s="1126"/>
      <c r="O975" s="1126"/>
      <c r="P975" s="1126"/>
      <c r="Q975" s="1126"/>
      <c r="R975" s="1126"/>
      <c r="S975" s="1126"/>
      <c r="T975" s="1126"/>
      <c r="U975" s="1126"/>
      <c r="V975" s="1126"/>
      <c r="W975" s="1126"/>
      <c r="X975" s="1126"/>
      <c r="Y975" s="1126"/>
      <c r="Z975" s="1126"/>
      <c r="AA975" s="1126"/>
      <c r="AB975" s="1126"/>
    </row>
    <row r="976" ht="15.75" customHeight="1">
      <c r="B976" s="1126"/>
      <c r="C976" s="1126"/>
      <c r="D976" s="1126"/>
      <c r="E976" s="1126"/>
      <c r="F976" s="1126"/>
      <c r="G976" s="1126"/>
      <c r="H976" s="1126"/>
      <c r="I976" s="1126"/>
      <c r="J976" s="1126"/>
      <c r="K976" s="1126"/>
      <c r="L976" s="1126"/>
      <c r="M976" s="1126"/>
      <c r="N976" s="1126"/>
      <c r="O976" s="1126"/>
      <c r="P976" s="1126"/>
      <c r="Q976" s="1126"/>
      <c r="R976" s="1126"/>
      <c r="S976" s="1126"/>
      <c r="T976" s="1126"/>
      <c r="U976" s="1126"/>
      <c r="V976" s="1126"/>
      <c r="W976" s="1126"/>
      <c r="X976" s="1126"/>
      <c r="Y976" s="1126"/>
      <c r="Z976" s="1126"/>
      <c r="AA976" s="1126"/>
      <c r="AB976" s="1126"/>
    </row>
    <row r="977" ht="15.75" customHeight="1">
      <c r="B977" s="1126"/>
      <c r="C977" s="1126"/>
      <c r="D977" s="1126"/>
      <c r="E977" s="1126"/>
      <c r="F977" s="1126"/>
      <c r="G977" s="1126"/>
      <c r="H977" s="1126"/>
      <c r="I977" s="1126"/>
      <c r="J977" s="1126"/>
      <c r="K977" s="1126"/>
      <c r="L977" s="1126"/>
      <c r="M977" s="1126"/>
      <c r="N977" s="1126"/>
      <c r="O977" s="1126"/>
      <c r="P977" s="1126"/>
      <c r="Q977" s="1126"/>
      <c r="R977" s="1126"/>
      <c r="S977" s="1126"/>
      <c r="T977" s="1126"/>
      <c r="U977" s="1126"/>
      <c r="V977" s="1126"/>
      <c r="W977" s="1126"/>
      <c r="X977" s="1126"/>
      <c r="Y977" s="1126"/>
      <c r="Z977" s="1126"/>
      <c r="AA977" s="1126"/>
      <c r="AB977" s="1126"/>
    </row>
    <row r="978" ht="15.75" customHeight="1">
      <c r="B978" s="1126"/>
      <c r="C978" s="1126"/>
      <c r="D978" s="1126"/>
      <c r="E978" s="1126"/>
      <c r="F978" s="1126"/>
      <c r="G978" s="1126"/>
      <c r="H978" s="1126"/>
      <c r="I978" s="1126"/>
      <c r="J978" s="1126"/>
      <c r="K978" s="1126"/>
      <c r="L978" s="1126"/>
      <c r="M978" s="1126"/>
      <c r="N978" s="1126"/>
      <c r="O978" s="1126"/>
      <c r="P978" s="1126"/>
      <c r="Q978" s="1126"/>
      <c r="R978" s="1126"/>
      <c r="S978" s="1126"/>
      <c r="T978" s="1126"/>
      <c r="U978" s="1126"/>
      <c r="V978" s="1126"/>
      <c r="W978" s="1126"/>
      <c r="X978" s="1126"/>
      <c r="Y978" s="1126"/>
      <c r="Z978" s="1126"/>
      <c r="AA978" s="1126"/>
      <c r="AB978" s="1126"/>
    </row>
    <row r="979" ht="15.75" customHeight="1">
      <c r="B979" s="1126"/>
      <c r="C979" s="1126"/>
      <c r="D979" s="1126"/>
      <c r="E979" s="1126"/>
      <c r="F979" s="1126"/>
      <c r="G979" s="1126"/>
      <c r="H979" s="1126"/>
      <c r="I979" s="1126"/>
      <c r="J979" s="1126"/>
      <c r="K979" s="1126"/>
      <c r="L979" s="1126"/>
      <c r="M979" s="1126"/>
      <c r="N979" s="1126"/>
      <c r="O979" s="1126"/>
      <c r="P979" s="1126"/>
      <c r="Q979" s="1126"/>
      <c r="R979" s="1126"/>
      <c r="S979" s="1126"/>
      <c r="T979" s="1126"/>
      <c r="U979" s="1126"/>
      <c r="V979" s="1126"/>
      <c r="W979" s="1126"/>
      <c r="X979" s="1126"/>
      <c r="Y979" s="1126"/>
      <c r="Z979" s="1126"/>
      <c r="AA979" s="1126"/>
      <c r="AB979" s="1126"/>
    </row>
    <row r="980" ht="15.75" customHeight="1">
      <c r="B980" s="1126"/>
      <c r="C980" s="1126"/>
      <c r="D980" s="1126"/>
      <c r="E980" s="1126"/>
      <c r="F980" s="1126"/>
      <c r="G980" s="1126"/>
      <c r="H980" s="1126"/>
      <c r="I980" s="1126"/>
      <c r="J980" s="1126"/>
      <c r="K980" s="1126"/>
      <c r="L980" s="1126"/>
      <c r="M980" s="1126"/>
      <c r="N980" s="1126"/>
      <c r="O980" s="1126"/>
      <c r="P980" s="1126"/>
      <c r="Q980" s="1126"/>
      <c r="R980" s="1126"/>
      <c r="S980" s="1126"/>
      <c r="T980" s="1126"/>
      <c r="U980" s="1126"/>
      <c r="V980" s="1126"/>
      <c r="W980" s="1126"/>
      <c r="X980" s="1126"/>
      <c r="Y980" s="1126"/>
      <c r="Z980" s="1126"/>
      <c r="AA980" s="1126"/>
      <c r="AB980" s="1126"/>
    </row>
    <row r="981" ht="15.75" customHeight="1">
      <c r="B981" s="1126"/>
      <c r="C981" s="1126"/>
      <c r="D981" s="1126"/>
      <c r="E981" s="1126"/>
      <c r="F981" s="1126"/>
      <c r="G981" s="1126"/>
      <c r="H981" s="1126"/>
      <c r="I981" s="1126"/>
      <c r="J981" s="1126"/>
      <c r="K981" s="1126"/>
      <c r="L981" s="1126"/>
      <c r="M981" s="1126"/>
      <c r="N981" s="1126"/>
      <c r="O981" s="1126"/>
      <c r="P981" s="1126"/>
      <c r="Q981" s="1126"/>
      <c r="R981" s="1126"/>
      <c r="S981" s="1126"/>
      <c r="T981" s="1126"/>
      <c r="U981" s="1126"/>
      <c r="V981" s="1126"/>
      <c r="W981" s="1126"/>
      <c r="X981" s="1126"/>
      <c r="Y981" s="1126"/>
      <c r="Z981" s="1126"/>
      <c r="AA981" s="1126"/>
      <c r="AB981" s="1126"/>
    </row>
    <row r="982" ht="15.75" customHeight="1">
      <c r="B982" s="1126"/>
      <c r="C982" s="1126"/>
      <c r="D982" s="1126"/>
      <c r="E982" s="1126"/>
      <c r="F982" s="1126"/>
      <c r="G982" s="1126"/>
      <c r="H982" s="1126"/>
      <c r="I982" s="1126"/>
      <c r="J982" s="1126"/>
      <c r="K982" s="1126"/>
      <c r="L982" s="1126"/>
      <c r="M982" s="1126"/>
      <c r="N982" s="1126"/>
      <c r="O982" s="1126"/>
      <c r="P982" s="1126"/>
      <c r="Q982" s="1126"/>
      <c r="R982" s="1126"/>
      <c r="S982" s="1126"/>
      <c r="T982" s="1126"/>
      <c r="U982" s="1126"/>
      <c r="V982" s="1126"/>
      <c r="W982" s="1126"/>
      <c r="X982" s="1126"/>
      <c r="Y982" s="1126"/>
      <c r="Z982" s="1126"/>
      <c r="AA982" s="1126"/>
      <c r="AB982" s="1126"/>
    </row>
    <row r="983" ht="15.75" customHeight="1">
      <c r="B983" s="1126"/>
      <c r="C983" s="1126"/>
      <c r="D983" s="1126"/>
      <c r="E983" s="1126"/>
      <c r="F983" s="1126"/>
      <c r="G983" s="1126"/>
      <c r="H983" s="1126"/>
      <c r="I983" s="1126"/>
      <c r="J983" s="1126"/>
      <c r="K983" s="1126"/>
      <c r="L983" s="1126"/>
      <c r="M983" s="1126"/>
      <c r="N983" s="1126"/>
      <c r="O983" s="1126"/>
      <c r="P983" s="1126"/>
      <c r="Q983" s="1126"/>
      <c r="R983" s="1126"/>
      <c r="S983" s="1126"/>
      <c r="T983" s="1126"/>
      <c r="U983" s="1126"/>
      <c r="V983" s="1126"/>
      <c r="W983" s="1126"/>
      <c r="X983" s="1126"/>
      <c r="Y983" s="1126"/>
      <c r="Z983" s="1126"/>
      <c r="AA983" s="1126"/>
      <c r="AB983" s="1126"/>
    </row>
    <row r="984" ht="15.75" customHeight="1">
      <c r="B984" s="1126"/>
      <c r="C984" s="1126"/>
      <c r="D984" s="1126"/>
      <c r="E984" s="1126"/>
      <c r="F984" s="1126"/>
      <c r="G984" s="1126"/>
      <c r="H984" s="1126"/>
      <c r="I984" s="1126"/>
      <c r="J984" s="1126"/>
      <c r="K984" s="1126"/>
      <c r="L984" s="1126"/>
      <c r="M984" s="1126"/>
      <c r="N984" s="1126"/>
      <c r="O984" s="1126"/>
      <c r="P984" s="1126"/>
      <c r="Q984" s="1126"/>
      <c r="R984" s="1126"/>
      <c r="S984" s="1126"/>
      <c r="T984" s="1126"/>
      <c r="U984" s="1126"/>
      <c r="V984" s="1126"/>
      <c r="W984" s="1126"/>
      <c r="X984" s="1126"/>
      <c r="Y984" s="1126"/>
      <c r="Z984" s="1126"/>
      <c r="AA984" s="1126"/>
      <c r="AB984" s="1126"/>
    </row>
    <row r="985" ht="15.75" customHeight="1">
      <c r="B985" s="1126"/>
      <c r="C985" s="1126"/>
      <c r="D985" s="1126"/>
      <c r="E985" s="1126"/>
      <c r="F985" s="1126"/>
      <c r="G985" s="1126"/>
      <c r="H985" s="1126"/>
      <c r="I985" s="1126"/>
      <c r="J985" s="1126"/>
      <c r="K985" s="1126"/>
      <c r="L985" s="1126"/>
      <c r="M985" s="1126"/>
      <c r="N985" s="1126"/>
      <c r="O985" s="1126"/>
      <c r="P985" s="1126"/>
      <c r="Q985" s="1126"/>
      <c r="R985" s="1126"/>
      <c r="S985" s="1126"/>
      <c r="T985" s="1126"/>
      <c r="U985" s="1126"/>
      <c r="V985" s="1126"/>
      <c r="W985" s="1126"/>
      <c r="X985" s="1126"/>
      <c r="Y985" s="1126"/>
      <c r="Z985" s="1126"/>
      <c r="AA985" s="1126"/>
      <c r="AB985" s="1126"/>
    </row>
    <row r="986" ht="15.75" customHeight="1">
      <c r="B986" s="1126"/>
      <c r="C986" s="1126"/>
      <c r="D986" s="1126"/>
      <c r="E986" s="1126"/>
      <c r="F986" s="1126"/>
      <c r="G986" s="1126"/>
      <c r="H986" s="1126"/>
      <c r="I986" s="1126"/>
      <c r="J986" s="1126"/>
      <c r="K986" s="1126"/>
      <c r="L986" s="1126"/>
      <c r="M986" s="1126"/>
      <c r="N986" s="1126"/>
      <c r="O986" s="1126"/>
      <c r="P986" s="1126"/>
      <c r="Q986" s="1126"/>
      <c r="R986" s="1126"/>
      <c r="S986" s="1126"/>
      <c r="T986" s="1126"/>
      <c r="U986" s="1126"/>
      <c r="V986" s="1126"/>
      <c r="W986" s="1126"/>
      <c r="X986" s="1126"/>
      <c r="Y986" s="1126"/>
      <c r="Z986" s="1126"/>
      <c r="AA986" s="1126"/>
      <c r="AB986" s="1126"/>
    </row>
    <row r="987" ht="15.75" customHeight="1">
      <c r="B987" s="1126"/>
      <c r="C987" s="1126"/>
      <c r="D987" s="1126"/>
      <c r="E987" s="1126"/>
      <c r="F987" s="1126"/>
      <c r="G987" s="1126"/>
      <c r="H987" s="1126"/>
      <c r="I987" s="1126"/>
      <c r="J987" s="1126"/>
      <c r="K987" s="1126"/>
      <c r="L987" s="1126"/>
      <c r="M987" s="1126"/>
      <c r="N987" s="1126"/>
      <c r="O987" s="1126"/>
      <c r="P987" s="1126"/>
      <c r="Q987" s="1126"/>
      <c r="R987" s="1126"/>
      <c r="S987" s="1126"/>
      <c r="T987" s="1126"/>
      <c r="U987" s="1126"/>
      <c r="V987" s="1126"/>
      <c r="W987" s="1126"/>
      <c r="X987" s="1126"/>
      <c r="Y987" s="1126"/>
      <c r="Z987" s="1126"/>
      <c r="AA987" s="1126"/>
      <c r="AB987" s="1126"/>
    </row>
    <row r="988" ht="15.75" customHeight="1">
      <c r="B988" s="1126"/>
      <c r="C988" s="1126"/>
      <c r="D988" s="1126"/>
      <c r="E988" s="1126"/>
      <c r="F988" s="1126"/>
      <c r="G988" s="1126"/>
      <c r="H988" s="1126"/>
      <c r="I988" s="1126"/>
      <c r="J988" s="1126"/>
      <c r="K988" s="1126"/>
      <c r="L988" s="1126"/>
      <c r="M988" s="1126"/>
      <c r="N988" s="1126"/>
      <c r="O988" s="1126"/>
      <c r="P988" s="1126"/>
      <c r="Q988" s="1126"/>
      <c r="R988" s="1126"/>
      <c r="S988" s="1126"/>
      <c r="T988" s="1126"/>
      <c r="U988" s="1126"/>
      <c r="V988" s="1126"/>
      <c r="W988" s="1126"/>
      <c r="X988" s="1126"/>
      <c r="Y988" s="1126"/>
      <c r="Z988" s="1126"/>
      <c r="AA988" s="1126"/>
      <c r="AB988" s="1126"/>
    </row>
    <row r="989" ht="15.75" customHeight="1">
      <c r="B989" s="1126"/>
      <c r="C989" s="1126"/>
      <c r="D989" s="1126"/>
      <c r="E989" s="1126"/>
      <c r="F989" s="1126"/>
      <c r="G989" s="1126"/>
      <c r="H989" s="1126"/>
      <c r="I989" s="1126"/>
      <c r="J989" s="1126"/>
      <c r="K989" s="1126"/>
      <c r="L989" s="1126"/>
      <c r="M989" s="1126"/>
      <c r="N989" s="1126"/>
      <c r="O989" s="1126"/>
      <c r="P989" s="1126"/>
      <c r="Q989" s="1126"/>
      <c r="R989" s="1126"/>
      <c r="S989" s="1126"/>
      <c r="T989" s="1126"/>
      <c r="U989" s="1126"/>
      <c r="V989" s="1126"/>
      <c r="W989" s="1126"/>
      <c r="X989" s="1126"/>
      <c r="Y989" s="1126"/>
      <c r="Z989" s="1126"/>
      <c r="AA989" s="1126"/>
      <c r="AB989" s="1126"/>
    </row>
    <row r="990" ht="15.75" customHeight="1">
      <c r="B990" s="1126"/>
      <c r="C990" s="1126"/>
      <c r="D990" s="1126"/>
      <c r="E990" s="1126"/>
      <c r="F990" s="1126"/>
      <c r="G990" s="1126"/>
      <c r="H990" s="1126"/>
      <c r="I990" s="1126"/>
      <c r="J990" s="1126"/>
      <c r="K990" s="1126"/>
      <c r="L990" s="1126"/>
      <c r="M990" s="1126"/>
      <c r="N990" s="1126"/>
      <c r="O990" s="1126"/>
      <c r="P990" s="1126"/>
      <c r="Q990" s="1126"/>
      <c r="R990" s="1126"/>
      <c r="S990" s="1126"/>
      <c r="T990" s="1126"/>
      <c r="U990" s="1126"/>
      <c r="V990" s="1126"/>
      <c r="W990" s="1126"/>
      <c r="X990" s="1126"/>
      <c r="Y990" s="1126"/>
      <c r="Z990" s="1126"/>
      <c r="AA990" s="1126"/>
      <c r="AB990" s="1126"/>
    </row>
    <row r="991" ht="15.75" customHeight="1">
      <c r="B991" s="1126"/>
      <c r="C991" s="1126"/>
      <c r="D991" s="1126"/>
      <c r="E991" s="1126"/>
      <c r="F991" s="1126"/>
      <c r="G991" s="1126"/>
      <c r="H991" s="1126"/>
      <c r="I991" s="1126"/>
      <c r="J991" s="1126"/>
      <c r="K991" s="1126"/>
      <c r="L991" s="1126"/>
      <c r="M991" s="1126"/>
      <c r="N991" s="1126"/>
      <c r="O991" s="1126"/>
      <c r="P991" s="1126"/>
      <c r="Q991" s="1126"/>
      <c r="R991" s="1126"/>
      <c r="S991" s="1126"/>
      <c r="T991" s="1126"/>
      <c r="U991" s="1126"/>
      <c r="V991" s="1126"/>
      <c r="W991" s="1126"/>
      <c r="X991" s="1126"/>
      <c r="Y991" s="1126"/>
      <c r="Z991" s="1126"/>
      <c r="AA991" s="1126"/>
      <c r="AB991" s="1126"/>
    </row>
    <row r="992" ht="15.75" customHeight="1">
      <c r="B992" s="1126"/>
      <c r="C992" s="1126"/>
      <c r="D992" s="1126"/>
      <c r="E992" s="1126"/>
      <c r="F992" s="1126"/>
      <c r="G992" s="1126"/>
      <c r="H992" s="1126"/>
      <c r="I992" s="1126"/>
      <c r="J992" s="1126"/>
      <c r="K992" s="1126"/>
      <c r="L992" s="1126"/>
      <c r="M992" s="1126"/>
      <c r="N992" s="1126"/>
      <c r="O992" s="1126"/>
      <c r="P992" s="1126"/>
      <c r="Q992" s="1126"/>
      <c r="R992" s="1126"/>
      <c r="S992" s="1126"/>
      <c r="T992" s="1126"/>
      <c r="U992" s="1126"/>
      <c r="V992" s="1126"/>
      <c r="W992" s="1126"/>
      <c r="X992" s="1126"/>
      <c r="Y992" s="1126"/>
      <c r="Z992" s="1126"/>
      <c r="AA992" s="1126"/>
      <c r="AB992" s="1126"/>
    </row>
    <row r="993" ht="15.75" customHeight="1">
      <c r="B993" s="1126"/>
      <c r="C993" s="1126"/>
      <c r="D993" s="1126"/>
      <c r="E993" s="1126"/>
      <c r="F993" s="1126"/>
      <c r="G993" s="1126"/>
      <c r="H993" s="1126"/>
      <c r="I993" s="1126"/>
      <c r="J993" s="1126"/>
      <c r="K993" s="1126"/>
      <c r="L993" s="1126"/>
      <c r="M993" s="1126"/>
      <c r="N993" s="1126"/>
      <c r="O993" s="1126"/>
      <c r="P993" s="1126"/>
      <c r="Q993" s="1126"/>
      <c r="R993" s="1126"/>
      <c r="S993" s="1126"/>
      <c r="T993" s="1126"/>
      <c r="U993" s="1126"/>
      <c r="V993" s="1126"/>
      <c r="W993" s="1126"/>
      <c r="X993" s="1126"/>
      <c r="Y993" s="1126"/>
      <c r="Z993" s="1126"/>
      <c r="AA993" s="1126"/>
      <c r="AB993" s="1126"/>
    </row>
    <row r="994" ht="15.75" customHeight="1">
      <c r="B994" s="1126"/>
      <c r="C994" s="1126"/>
      <c r="D994" s="1126"/>
      <c r="E994" s="1126"/>
      <c r="F994" s="1126"/>
      <c r="G994" s="1126"/>
      <c r="H994" s="1126"/>
      <c r="I994" s="1126"/>
      <c r="J994" s="1126"/>
      <c r="K994" s="1126"/>
      <c r="L994" s="1126"/>
      <c r="M994" s="1126"/>
      <c r="N994" s="1126"/>
      <c r="O994" s="1126"/>
      <c r="P994" s="1126"/>
      <c r="Q994" s="1126"/>
      <c r="R994" s="1126"/>
      <c r="S994" s="1126"/>
      <c r="T994" s="1126"/>
      <c r="U994" s="1126"/>
      <c r="V994" s="1126"/>
      <c r="W994" s="1126"/>
      <c r="X994" s="1126"/>
      <c r="Y994" s="1126"/>
      <c r="Z994" s="1126"/>
      <c r="AA994" s="1126"/>
      <c r="AB994" s="1126"/>
    </row>
    <row r="995" ht="15.75" customHeight="1">
      <c r="B995" s="1126"/>
      <c r="C995" s="1126"/>
      <c r="D995" s="1126"/>
      <c r="E995" s="1126"/>
      <c r="F995" s="1126"/>
      <c r="G995" s="1126"/>
      <c r="H995" s="1126"/>
      <c r="I995" s="1126"/>
      <c r="J995" s="1126"/>
      <c r="K995" s="1126"/>
      <c r="L995" s="1126"/>
      <c r="M995" s="1126"/>
      <c r="N995" s="1126"/>
      <c r="O995" s="1126"/>
      <c r="P995" s="1126"/>
      <c r="Q995" s="1126"/>
      <c r="R995" s="1126"/>
      <c r="S995" s="1126"/>
      <c r="T995" s="1126"/>
      <c r="U995" s="1126"/>
      <c r="V995" s="1126"/>
      <c r="W995" s="1126"/>
      <c r="X995" s="1126"/>
      <c r="Y995" s="1126"/>
      <c r="Z995" s="1126"/>
      <c r="AA995" s="1126"/>
      <c r="AB995" s="1126"/>
    </row>
    <row r="996" ht="15.75" customHeight="1">
      <c r="B996" s="1126"/>
      <c r="C996" s="1126"/>
      <c r="D996" s="1126"/>
      <c r="E996" s="1126"/>
      <c r="F996" s="1126"/>
      <c r="G996" s="1126"/>
      <c r="H996" s="1126"/>
      <c r="I996" s="1126"/>
      <c r="J996" s="1126"/>
      <c r="K996" s="1126"/>
      <c r="L996" s="1126"/>
      <c r="M996" s="1126"/>
      <c r="N996" s="1126"/>
      <c r="O996" s="1126"/>
      <c r="P996" s="1126"/>
      <c r="Q996" s="1126"/>
      <c r="R996" s="1126"/>
      <c r="S996" s="1126"/>
      <c r="T996" s="1126"/>
      <c r="U996" s="1126"/>
      <c r="V996" s="1126"/>
      <c r="W996" s="1126"/>
      <c r="X996" s="1126"/>
      <c r="Y996" s="1126"/>
      <c r="Z996" s="1126"/>
      <c r="AA996" s="1126"/>
      <c r="AB996" s="1126"/>
    </row>
    <row r="997" ht="15.75" customHeight="1">
      <c r="B997" s="1126"/>
      <c r="C997" s="1126"/>
      <c r="D997" s="1126"/>
      <c r="E997" s="1126"/>
      <c r="F997" s="1126"/>
      <c r="G997" s="1126"/>
      <c r="H997" s="1126"/>
      <c r="I997" s="1126"/>
      <c r="J997" s="1126"/>
      <c r="K997" s="1126"/>
      <c r="L997" s="1126"/>
      <c r="M997" s="1126"/>
      <c r="N997" s="1126"/>
      <c r="O997" s="1126"/>
      <c r="P997" s="1126"/>
      <c r="Q997" s="1126"/>
      <c r="R997" s="1126"/>
      <c r="S997" s="1126"/>
      <c r="T997" s="1126"/>
      <c r="U997" s="1126"/>
      <c r="V997" s="1126"/>
      <c r="W997" s="1126"/>
      <c r="X997" s="1126"/>
      <c r="Y997" s="1126"/>
      <c r="Z997" s="1126"/>
      <c r="AA997" s="1126"/>
      <c r="AB997" s="1126"/>
    </row>
    <row r="998" ht="15.75" customHeight="1">
      <c r="B998" s="1126"/>
      <c r="C998" s="1126"/>
      <c r="D998" s="1126"/>
      <c r="E998" s="1126"/>
      <c r="F998" s="1126"/>
      <c r="G998" s="1126"/>
      <c r="H998" s="1126"/>
      <c r="I998" s="1126"/>
      <c r="J998" s="1126"/>
      <c r="K998" s="1126"/>
      <c r="L998" s="1126"/>
      <c r="M998" s="1126"/>
      <c r="N998" s="1126"/>
      <c r="O998" s="1126"/>
      <c r="P998" s="1126"/>
      <c r="Q998" s="1126"/>
      <c r="R998" s="1126"/>
      <c r="S998" s="1126"/>
      <c r="T998" s="1126"/>
      <c r="U998" s="1126"/>
      <c r="V998" s="1126"/>
      <c r="W998" s="1126"/>
      <c r="X998" s="1126"/>
      <c r="Y998" s="1126"/>
      <c r="Z998" s="1126"/>
      <c r="AA998" s="1126"/>
      <c r="AB998" s="1126"/>
    </row>
    <row r="999" ht="15.75" customHeight="1">
      <c r="B999" s="1126"/>
      <c r="C999" s="1126"/>
      <c r="D999" s="1126"/>
      <c r="E999" s="1126"/>
      <c r="F999" s="1126"/>
      <c r="G999" s="1126"/>
      <c r="H999" s="1126"/>
      <c r="I999" s="1126"/>
      <c r="J999" s="1126"/>
      <c r="K999" s="1126"/>
      <c r="L999" s="1126"/>
      <c r="M999" s="1126"/>
      <c r="N999" s="1126"/>
      <c r="O999" s="1126"/>
      <c r="P999" s="1126"/>
      <c r="Q999" s="1126"/>
      <c r="R999" s="1126"/>
      <c r="S999" s="1126"/>
      <c r="T999" s="1126"/>
      <c r="U999" s="1126"/>
      <c r="V999" s="1126"/>
      <c r="W999" s="1126"/>
      <c r="X999" s="1126"/>
      <c r="Y999" s="1126"/>
      <c r="Z999" s="1126"/>
      <c r="AA999" s="1126"/>
      <c r="AB999" s="1126"/>
    </row>
    <row r="1000" ht="15.75" customHeight="1">
      <c r="B1000" s="1126"/>
      <c r="C1000" s="1126"/>
      <c r="D1000" s="1126"/>
      <c r="E1000" s="1126"/>
      <c r="F1000" s="1126"/>
      <c r="G1000" s="1126"/>
      <c r="H1000" s="1126"/>
      <c r="I1000" s="1126"/>
      <c r="J1000" s="1126"/>
      <c r="K1000" s="1126"/>
      <c r="L1000" s="1126"/>
      <c r="M1000" s="1126"/>
      <c r="N1000" s="1126"/>
      <c r="O1000" s="1126"/>
      <c r="P1000" s="1126"/>
      <c r="Q1000" s="1126"/>
      <c r="R1000" s="1126"/>
      <c r="S1000" s="1126"/>
      <c r="T1000" s="1126"/>
      <c r="U1000" s="1126"/>
      <c r="V1000" s="1126"/>
      <c r="W1000" s="1126"/>
      <c r="X1000" s="1126"/>
      <c r="Y1000" s="1126"/>
      <c r="Z1000" s="1126"/>
      <c r="AA1000" s="1126"/>
      <c r="AB1000" s="1126"/>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1.22"/>
    <col customWidth="1" min="2" max="2" width="7.78"/>
    <col customWidth="1" min="3" max="3" width="9.11"/>
    <col customWidth="1" min="4" max="13" width="6.22"/>
  </cols>
  <sheetData>
    <row r="1">
      <c r="A1" s="1138" t="s">
        <v>980</v>
      </c>
    </row>
    <row r="2">
      <c r="A2" s="903" t="s">
        <v>215</v>
      </c>
    </row>
    <row r="3">
      <c r="A3" s="903" t="s">
        <v>127</v>
      </c>
    </row>
    <row r="4">
      <c r="A4" s="903" t="s">
        <v>484</v>
      </c>
    </row>
    <row r="5">
      <c r="A5" s="903" t="s">
        <v>477</v>
      </c>
    </row>
    <row r="6">
      <c r="A6" s="1138" t="s">
        <v>981</v>
      </c>
      <c r="C6" s="1139" t="s">
        <v>473</v>
      </c>
      <c r="F6" s="1138" t="s">
        <v>982</v>
      </c>
    </row>
    <row r="7">
      <c r="A7" s="903" t="s">
        <v>499</v>
      </c>
      <c r="C7" s="903" t="s">
        <v>481</v>
      </c>
      <c r="F7" s="798" t="s">
        <v>29</v>
      </c>
    </row>
    <row r="8">
      <c r="A8" s="903" t="s">
        <v>478</v>
      </c>
      <c r="C8" s="903" t="s">
        <v>489</v>
      </c>
      <c r="F8" s="798" t="s">
        <v>173</v>
      </c>
    </row>
    <row r="9">
      <c r="A9" s="903" t="s">
        <v>983</v>
      </c>
    </row>
    <row r="13">
      <c r="A13" s="1138" t="s">
        <v>984</v>
      </c>
      <c r="C13" s="1138" t="s">
        <v>985</v>
      </c>
      <c r="F13" s="1138" t="s">
        <v>986</v>
      </c>
    </row>
    <row r="14">
      <c r="A14" s="903" t="s">
        <v>26</v>
      </c>
      <c r="C14" s="903" t="s">
        <v>43</v>
      </c>
      <c r="F14" s="903" t="s">
        <v>987</v>
      </c>
    </row>
    <row r="15">
      <c r="A15" s="903" t="s">
        <v>83</v>
      </c>
      <c r="C15" s="903" t="s">
        <v>30</v>
      </c>
      <c r="F15" s="903" t="s">
        <v>785</v>
      </c>
    </row>
    <row r="16">
      <c r="A16" s="903" t="s">
        <v>988</v>
      </c>
      <c r="C16" s="903" t="s">
        <v>61</v>
      </c>
    </row>
    <row r="17">
      <c r="A17" s="903" t="s">
        <v>989</v>
      </c>
      <c r="C17" s="903" t="s">
        <v>85</v>
      </c>
    </row>
    <row r="19">
      <c r="A19" s="1138" t="s">
        <v>990</v>
      </c>
      <c r="C19" s="1138" t="s">
        <v>991</v>
      </c>
      <c r="G19" s="1138" t="s">
        <v>992</v>
      </c>
      <c r="J19" s="1138" t="s">
        <v>993</v>
      </c>
    </row>
    <row r="20">
      <c r="A20" s="903" t="s">
        <v>215</v>
      </c>
      <c r="C20" s="903" t="s">
        <v>994</v>
      </c>
      <c r="G20" s="1140" t="s">
        <v>586</v>
      </c>
      <c r="J20" s="903" t="s">
        <v>481</v>
      </c>
    </row>
    <row r="21" ht="15.75" customHeight="1">
      <c r="A21" s="903" t="s">
        <v>127</v>
      </c>
      <c r="C21" s="903" t="s">
        <v>546</v>
      </c>
      <c r="G21" s="1140" t="s">
        <v>569</v>
      </c>
      <c r="J21" s="903" t="s">
        <v>489</v>
      </c>
    </row>
    <row r="22" ht="15.75" customHeight="1">
      <c r="A22" s="903" t="s">
        <v>192</v>
      </c>
      <c r="C22" s="903" t="s">
        <v>995</v>
      </c>
      <c r="G22" s="1141" t="s">
        <v>996</v>
      </c>
      <c r="N22" s="1141"/>
    </row>
    <row r="23" ht="15.75" customHeight="1">
      <c r="A23" s="903" t="s">
        <v>271</v>
      </c>
      <c r="G23" s="903" t="s">
        <v>560</v>
      </c>
      <c r="N23" s="903"/>
    </row>
    <row r="24" ht="15.75" customHeight="1">
      <c r="A24" s="903" t="s">
        <v>27</v>
      </c>
      <c r="G24" s="1141" t="s">
        <v>548</v>
      </c>
      <c r="N24" s="903"/>
    </row>
    <row r="25" ht="15.75" customHeight="1">
      <c r="A25" s="903" t="s">
        <v>997</v>
      </c>
      <c r="G25" s="903" t="s">
        <v>566</v>
      </c>
      <c r="N25" s="903"/>
    </row>
    <row r="26" ht="15.75" customHeight="1">
      <c r="G26" s="903" t="s">
        <v>577</v>
      </c>
    </row>
    <row r="27" ht="15.75" customHeight="1">
      <c r="G27" s="903"/>
    </row>
    <row r="28" ht="15.75" customHeight="1">
      <c r="A28" s="1138" t="s">
        <v>998</v>
      </c>
      <c r="C28" s="1138" t="s">
        <v>999</v>
      </c>
      <c r="G28" s="1138" t="s">
        <v>1000</v>
      </c>
    </row>
    <row r="29" ht="15.75" customHeight="1">
      <c r="A29" s="903" t="s">
        <v>969</v>
      </c>
      <c r="C29" s="903" t="s">
        <v>603</v>
      </c>
      <c r="G29" s="903" t="s">
        <v>604</v>
      </c>
    </row>
    <row r="30" ht="15.75" customHeight="1">
      <c r="A30" s="903" t="s">
        <v>649</v>
      </c>
      <c r="C30" s="903" t="s">
        <v>694</v>
      </c>
      <c r="G30" s="903" t="s">
        <v>657</v>
      </c>
    </row>
    <row r="31" ht="15.75" customHeight="1">
      <c r="A31" s="903" t="s">
        <v>624</v>
      </c>
      <c r="C31" s="903" t="s">
        <v>635</v>
      </c>
    </row>
    <row r="32" ht="15.75" customHeight="1">
      <c r="A32" s="903" t="s">
        <v>1001</v>
      </c>
    </row>
    <row r="33" ht="15.75" customHeight="1">
      <c r="A33" s="903" t="s">
        <v>976</v>
      </c>
    </row>
    <row r="34" ht="15.75" customHeight="1">
      <c r="A34" s="1141" t="s">
        <v>605</v>
      </c>
    </row>
    <row r="35" ht="15.75" customHeight="1">
      <c r="A35" s="903" t="s">
        <v>973</v>
      </c>
    </row>
    <row r="36" ht="15.75" customHeight="1">
      <c r="A36" s="903" t="s">
        <v>586</v>
      </c>
    </row>
    <row r="37" ht="15.75" customHeight="1">
      <c r="A37" s="1138" t="s">
        <v>1002</v>
      </c>
    </row>
    <row r="38" ht="15.75" customHeight="1">
      <c r="A38" s="903" t="s">
        <v>618</v>
      </c>
    </row>
    <row r="39" ht="15.75" customHeight="1">
      <c r="A39" s="903" t="s">
        <v>606</v>
      </c>
    </row>
    <row r="40" ht="15.75" customHeight="1"/>
    <row r="41" ht="15.75" customHeight="1"/>
    <row r="42" ht="15.75" customHeight="1">
      <c r="A42" s="1138" t="s">
        <v>1003</v>
      </c>
      <c r="C42" s="1138" t="s">
        <v>1004</v>
      </c>
      <c r="E42" s="1138" t="s">
        <v>1005</v>
      </c>
      <c r="I42" s="1138" t="s">
        <v>1005</v>
      </c>
      <c r="L42" s="1138" t="s">
        <v>748</v>
      </c>
    </row>
    <row r="43" ht="15.75" customHeight="1">
      <c r="A43" s="903" t="s">
        <v>780</v>
      </c>
      <c r="C43" s="903" t="s">
        <v>785</v>
      </c>
      <c r="E43" s="903" t="s">
        <v>753</v>
      </c>
      <c r="I43" s="903">
        <v>1.0</v>
      </c>
      <c r="L43" s="903" t="s">
        <v>754</v>
      </c>
    </row>
    <row r="44" ht="15.75" customHeight="1">
      <c r="A44" s="903" t="s">
        <v>776</v>
      </c>
      <c r="C44" s="903" t="s">
        <v>775</v>
      </c>
      <c r="E44" s="903" t="s">
        <v>759</v>
      </c>
      <c r="I44" s="903">
        <v>2.0</v>
      </c>
      <c r="L44" s="903" t="s">
        <v>466</v>
      </c>
    </row>
    <row r="45" ht="15.75" customHeight="1">
      <c r="A45" s="903" t="s">
        <v>1006</v>
      </c>
      <c r="I45" s="903">
        <v>3.0</v>
      </c>
    </row>
    <row r="46" ht="15.75" customHeight="1">
      <c r="A46" s="1141" t="s">
        <v>787</v>
      </c>
    </row>
    <row r="47" ht="15.75" customHeight="1">
      <c r="A47" s="1140" t="s">
        <v>815</v>
      </c>
    </row>
    <row r="48" ht="15.75" customHeight="1">
      <c r="A48" s="1140" t="s">
        <v>818</v>
      </c>
    </row>
    <row r="49" ht="15.75" customHeight="1"/>
    <row r="50" ht="15.75" customHeight="1">
      <c r="A50" s="1138" t="s">
        <v>1007</v>
      </c>
      <c r="M50" s="903"/>
    </row>
    <row r="51" ht="15.75" customHeight="1">
      <c r="A51" s="1140" t="s">
        <v>23</v>
      </c>
      <c r="B51" s="797"/>
      <c r="I51" s="1141"/>
      <c r="J51" s="797"/>
    </row>
    <row r="52" ht="15.75" customHeight="1">
      <c r="A52" s="1140" t="s">
        <v>46</v>
      </c>
    </row>
    <row r="53" ht="15.75" customHeight="1">
      <c r="A53" s="1140" t="s">
        <v>34</v>
      </c>
    </row>
    <row r="54" ht="15.75" customHeight="1">
      <c r="A54" s="1140" t="s">
        <v>108</v>
      </c>
    </row>
    <row r="55" ht="15.75" customHeight="1">
      <c r="A55" s="1140" t="s">
        <v>58</v>
      </c>
    </row>
    <row r="56" ht="15.75" customHeight="1"/>
    <row r="57" ht="15.75" customHeight="1"/>
    <row r="58" ht="15.75" customHeight="1"/>
    <row r="59" ht="15.75" customHeight="1">
      <c r="A59" s="1138" t="s">
        <v>1008</v>
      </c>
      <c r="C59" s="1138" t="s">
        <v>1009</v>
      </c>
    </row>
    <row r="60" ht="15.75" customHeight="1">
      <c r="A60" s="903" t="s">
        <v>830</v>
      </c>
      <c r="C60" s="1142" t="s">
        <v>1010</v>
      </c>
    </row>
    <row r="61" ht="15.75" customHeight="1">
      <c r="A61" s="903" t="s">
        <v>21</v>
      </c>
      <c r="C61" s="1142"/>
    </row>
    <row r="62" ht="15.75" customHeight="1">
      <c r="A62" s="903" t="s">
        <v>63</v>
      </c>
    </row>
    <row r="63" ht="15.75" customHeight="1">
      <c r="A63" s="903" t="s">
        <v>130</v>
      </c>
    </row>
    <row r="64" ht="15.75" customHeight="1">
      <c r="A64" s="903" t="s">
        <v>164</v>
      </c>
    </row>
    <row r="65" ht="15.75" customHeight="1">
      <c r="A65" s="903" t="s">
        <v>156</v>
      </c>
    </row>
    <row r="66" ht="15.75" customHeight="1">
      <c r="A66" s="903" t="s">
        <v>206</v>
      </c>
    </row>
    <row r="67" ht="15.75" customHeight="1">
      <c r="A67" s="903" t="s">
        <v>831</v>
      </c>
    </row>
    <row r="68" ht="15.75" customHeight="1">
      <c r="A68" s="903" t="s">
        <v>832</v>
      </c>
    </row>
    <row r="69" ht="15.75" customHeight="1">
      <c r="A69" s="903" t="s">
        <v>833</v>
      </c>
    </row>
    <row r="70" ht="15.75" customHeight="1">
      <c r="A70" s="903" t="s">
        <v>834</v>
      </c>
    </row>
    <row r="71" ht="15.75" customHeight="1">
      <c r="A71" s="903" t="s">
        <v>835</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1.22"/>
    <col customWidth="1" min="2" max="3" width="4.78"/>
    <col customWidth="1" min="4" max="4" width="5.78"/>
    <col customWidth="1" min="5" max="5" width="2.89"/>
    <col customWidth="1" min="6" max="6" width="4.78"/>
    <col customWidth="1" min="10" max="10" width="3.78"/>
    <col customWidth="1" min="11" max="12" width="2.89"/>
  </cols>
  <sheetData>
    <row r="3">
      <c r="B3" s="453">
        <v>6.0</v>
      </c>
      <c r="C3" s="453">
        <v>-4.0</v>
      </c>
      <c r="D3" s="453">
        <v>5.0</v>
      </c>
      <c r="E3" s="903">
        <v>6.0</v>
      </c>
      <c r="F3" s="903">
        <v>-4.0</v>
      </c>
    </row>
    <row r="4">
      <c r="B4" s="453">
        <v>15.0</v>
      </c>
      <c r="C4" s="453">
        <v>7.0</v>
      </c>
      <c r="D4" s="453">
        <v>9.0</v>
      </c>
      <c r="E4" s="903">
        <v>15.0</v>
      </c>
      <c r="F4" s="903">
        <v>7.0</v>
      </c>
    </row>
    <row r="5">
      <c r="B5" s="453">
        <v>18.0</v>
      </c>
      <c r="C5" s="453">
        <v>-12.0</v>
      </c>
      <c r="D5" s="453">
        <v>15.0</v>
      </c>
      <c r="E5" s="903">
        <v>18.0</v>
      </c>
      <c r="F5" s="903">
        <v>-12.0</v>
      </c>
    </row>
    <row r="6">
      <c r="A6" s="903" t="s">
        <v>1011</v>
      </c>
    </row>
    <row r="7">
      <c r="A7" s="903" t="s">
        <v>1012</v>
      </c>
      <c r="B7" s="453">
        <v>7.0</v>
      </c>
      <c r="C7" s="453">
        <v>9.0</v>
      </c>
      <c r="F7" s="903">
        <f>B7*C8</f>
        <v>105</v>
      </c>
      <c r="G7" s="903">
        <f>C7*B8</f>
        <v>-108</v>
      </c>
    </row>
    <row r="8">
      <c r="B8" s="453">
        <v>-12.0</v>
      </c>
      <c r="C8" s="453">
        <v>15.0</v>
      </c>
      <c r="F8" s="903">
        <f>F7-G7</f>
        <v>213</v>
      </c>
    </row>
    <row r="10">
      <c r="A10" s="903" t="s">
        <v>1013</v>
      </c>
      <c r="B10" s="453">
        <v>15.0</v>
      </c>
      <c r="C10" s="453">
        <v>9.0</v>
      </c>
      <c r="F10" s="903">
        <f>B10*C11</f>
        <v>225</v>
      </c>
      <c r="G10" s="903">
        <f>C10*B11</f>
        <v>162</v>
      </c>
    </row>
    <row r="11">
      <c r="B11" s="453">
        <v>18.0</v>
      </c>
      <c r="C11" s="453">
        <v>15.0</v>
      </c>
      <c r="F11" s="903">
        <f>F10-G10</f>
        <v>63</v>
      </c>
    </row>
    <row r="13">
      <c r="A13" s="903" t="s">
        <v>1014</v>
      </c>
      <c r="B13" s="453">
        <v>15.0</v>
      </c>
      <c r="C13" s="453">
        <v>7.0</v>
      </c>
      <c r="F13" s="903">
        <f>B13*C14</f>
        <v>-180</v>
      </c>
      <c r="G13" s="903">
        <f>C13*B14</f>
        <v>126</v>
      </c>
    </row>
    <row r="14">
      <c r="B14" s="453">
        <v>18.0</v>
      </c>
      <c r="C14" s="453">
        <v>-12.0</v>
      </c>
      <c r="F14" s="903">
        <f>F13-G13</f>
        <v>-306</v>
      </c>
    </row>
    <row r="17">
      <c r="A17" s="903" t="s">
        <v>1015</v>
      </c>
      <c r="B17" s="903">
        <f>B3*F8</f>
        <v>1278</v>
      </c>
      <c r="C17" s="903">
        <f>C3*F11</f>
        <v>-252</v>
      </c>
      <c r="D17" s="903">
        <f>D3*F14</f>
        <v>-1530</v>
      </c>
    </row>
    <row r="18">
      <c r="B18" s="903">
        <f>B17-C17+D17</f>
        <v>0</v>
      </c>
    </row>
    <row r="20">
      <c r="A20" s="903" t="s">
        <v>1016</v>
      </c>
    </row>
    <row r="21" ht="15.75" customHeight="1">
      <c r="B21" s="453">
        <v>6.0</v>
      </c>
      <c r="C21" s="453"/>
      <c r="D21" s="453"/>
      <c r="J21" s="453"/>
      <c r="L21" s="903">
        <v>-4.0</v>
      </c>
    </row>
    <row r="22" ht="15.75" customHeight="1">
      <c r="B22" s="453"/>
      <c r="C22" s="453">
        <v>7.0</v>
      </c>
      <c r="D22" s="453"/>
      <c r="F22" s="903">
        <f>B21*C22*D23</f>
        <v>630</v>
      </c>
      <c r="J22" s="453"/>
      <c r="K22" s="903">
        <v>15.0</v>
      </c>
      <c r="M22" s="903">
        <f>L21*K22*J23</f>
        <v>-900</v>
      </c>
    </row>
    <row r="23" ht="15.75" customHeight="1">
      <c r="B23" s="453"/>
      <c r="C23" s="453"/>
      <c r="D23" s="453">
        <v>15.0</v>
      </c>
      <c r="J23" s="453">
        <v>15.0</v>
      </c>
    </row>
    <row r="24" ht="15.75" customHeight="1"/>
    <row r="25" ht="15.75" customHeight="1">
      <c r="B25" s="453">
        <v>-4.0</v>
      </c>
      <c r="C25" s="453"/>
      <c r="J25" s="453"/>
      <c r="K25" s="453"/>
      <c r="L25" s="903">
        <v>6.0</v>
      </c>
    </row>
    <row r="26" ht="15.75" customHeight="1">
      <c r="B26" s="453"/>
      <c r="C26" s="453">
        <v>9.0</v>
      </c>
      <c r="F26" s="903">
        <f>B25*C26*D27</f>
        <v>-648</v>
      </c>
      <c r="J26" s="453"/>
      <c r="K26" s="453">
        <v>9.0</v>
      </c>
      <c r="M26" s="903">
        <f>L25*K26*J27</f>
        <v>-648</v>
      </c>
    </row>
    <row r="27" ht="15.75" customHeight="1">
      <c r="B27" s="453"/>
      <c r="C27" s="453"/>
      <c r="D27" s="903">
        <v>18.0</v>
      </c>
      <c r="J27" s="453">
        <v>-12.0</v>
      </c>
      <c r="K27" s="453"/>
    </row>
    <row r="28" ht="15.75" customHeight="1"/>
    <row r="29" ht="15.75" customHeight="1">
      <c r="B29" s="453">
        <v>5.0</v>
      </c>
      <c r="J29" s="453"/>
      <c r="K29" s="453"/>
      <c r="L29" s="453">
        <v>5.0</v>
      </c>
    </row>
    <row r="30" ht="15.75" customHeight="1">
      <c r="B30" s="453"/>
      <c r="C30" s="903">
        <v>15.0</v>
      </c>
      <c r="F30" s="903">
        <f>B29*C30*D31</f>
        <v>-900</v>
      </c>
      <c r="J30" s="453"/>
      <c r="K30" s="453">
        <v>7.0</v>
      </c>
      <c r="L30" s="453"/>
      <c r="M30" s="903">
        <f>L29*K30*J31</f>
        <v>630</v>
      </c>
    </row>
    <row r="31" ht="15.75" customHeight="1">
      <c r="B31" s="453"/>
      <c r="D31" s="903">
        <v>-12.0</v>
      </c>
      <c r="J31" s="453">
        <v>18.0</v>
      </c>
      <c r="K31" s="453"/>
      <c r="L31" s="453"/>
    </row>
    <row r="32" ht="15.75" customHeight="1"/>
    <row r="33" ht="15.75" customHeight="1"/>
    <row r="34" ht="15.75" customHeight="1">
      <c r="F34" s="903">
        <f>F22+F26+F30</f>
        <v>-918</v>
      </c>
      <c r="M34" s="903">
        <f>M22-M26-M30</f>
        <v>-882</v>
      </c>
    </row>
    <row r="35" ht="15.75" customHeight="1"/>
    <row r="36" ht="15.75" customHeight="1">
      <c r="G36" s="1143" t="s">
        <v>1017</v>
      </c>
      <c r="H36" s="1144">
        <f>F34-M34</f>
        <v>-36</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