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enayatmoallemi/Google Drive/My Library/PhD/Vensim (1)/Version Sep15/"/>
    </mc:Choice>
  </mc:AlternateContent>
  <bookViews>
    <workbookView xWindow="0" yWindow="0" windowWidth="25600" windowHeight="16000" firstSheet="3" activeTab="5"/>
  </bookViews>
  <sheets>
    <sheet name="Sale Tariff" sheetId="1" r:id="rId1"/>
    <sheet name="Demand" sheetId="2" r:id="rId2"/>
    <sheet name="GDP" sheetId="3" r:id="rId3"/>
    <sheet name="Generation Cost" sheetId="4" r:id="rId4"/>
    <sheet name="Generation" sheetId="5" r:id="rId5"/>
    <sheet name="Demand-Supply Balance" sheetId="6" r:id="rId6"/>
    <sheet name="Inflation Rate" sheetId="7" r:id="rId7"/>
    <sheet name="Power Supply Cost" sheetId="8" r:id="rId8"/>
    <sheet name="Fuel Price" sheetId="9" r:id="rId9"/>
    <sheet name="Generation Investment" sheetId="10" r:id="rId10"/>
    <sheet name="Investment Cost" sheetId="11" r:id="rId11"/>
    <sheet name="Install Capacities" sheetId="12" r:id="rId12"/>
    <sheet name="relative attractiveness" sheetId="13" r:id="rId13"/>
    <sheet name="Coal Consumption" sheetId="14" r:id="rId14"/>
    <sheet name="Energy Import" sheetId="15" r:id="rId15"/>
    <sheet name="Policies" sheetId="16" r:id="rId16"/>
    <sheet name="PublicPrivate" sheetId="17" r:id="rId17"/>
    <sheet name="Exchange Rate" sheetId="19" r:id="rId18"/>
    <sheet name="Sheet3" sheetId="20" r:id="rId1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3" l="1"/>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B8" i="3"/>
  <c r="B7" i="3"/>
  <c r="D11" i="7"/>
  <c r="D10"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B6" i="7"/>
  <c r="B5" i="7"/>
  <c r="C24" i="5"/>
  <c r="C25" i="5"/>
  <c r="C2" i="5"/>
  <c r="D2" i="5"/>
  <c r="E2" i="5"/>
  <c r="F2" i="5"/>
  <c r="G2" i="5"/>
  <c r="H2" i="5"/>
  <c r="I2" i="5"/>
  <c r="J2" i="5"/>
  <c r="K2" i="5"/>
  <c r="L2" i="5"/>
  <c r="M2" i="5"/>
  <c r="N6" i="5"/>
  <c r="N2" i="5"/>
  <c r="O6" i="5"/>
  <c r="O2" i="5"/>
  <c r="P6" i="5"/>
  <c r="P2" i="5"/>
  <c r="Q6" i="5"/>
  <c r="Q2" i="5"/>
  <c r="R2" i="5"/>
  <c r="S2" i="5"/>
  <c r="T2" i="5"/>
  <c r="U2" i="5"/>
  <c r="V2" i="5"/>
  <c r="W2" i="5"/>
  <c r="X2" i="5"/>
  <c r="Y2" i="5"/>
  <c r="Z2" i="5"/>
  <c r="AA6" i="5"/>
  <c r="AA2" i="5"/>
  <c r="B6" i="5"/>
  <c r="B2" i="5"/>
  <c r="AB2" i="5"/>
  <c r="AA12" i="2"/>
  <c r="AA26" i="5"/>
  <c r="Z26" i="5"/>
  <c r="Y26" i="5"/>
  <c r="X26" i="5"/>
  <c r="W26" i="5"/>
  <c r="V26" i="5"/>
  <c r="U26" i="5"/>
  <c r="T26" i="5"/>
  <c r="S26" i="5"/>
  <c r="AC2" i="5"/>
  <c r="AC28" i="5"/>
  <c r="AD28" i="5"/>
  <c r="AE28" i="5"/>
  <c r="AF28" i="5"/>
  <c r="AG28" i="5"/>
  <c r="AH28" i="5"/>
  <c r="AI28" i="5"/>
  <c r="AJ28" i="5"/>
  <c r="AK28" i="5"/>
  <c r="AL28" i="5"/>
  <c r="AM28" i="5"/>
  <c r="AN28" i="5"/>
  <c r="AO28" i="5"/>
  <c r="AP28" i="5"/>
  <c r="AB28" i="5"/>
  <c r="AA23" i="5"/>
  <c r="AB23" i="5"/>
  <c r="AC23" i="5"/>
  <c r="AD23" i="5"/>
  <c r="E25" i="5"/>
  <c r="F25" i="5"/>
  <c r="G25" i="5"/>
  <c r="H25" i="5"/>
  <c r="J25" i="5"/>
  <c r="K25" i="5"/>
  <c r="L25" i="5"/>
  <c r="M25" i="5"/>
  <c r="O25" i="5"/>
  <c r="P25" i="5"/>
  <c r="Q25" i="5"/>
  <c r="R25" i="5"/>
  <c r="T25" i="5"/>
  <c r="U25" i="5"/>
  <c r="V25" i="5"/>
  <c r="W25" i="5"/>
  <c r="AB25" i="5"/>
  <c r="AC25" i="5"/>
  <c r="AD25" i="5"/>
  <c r="E24" i="5"/>
  <c r="F24" i="5"/>
  <c r="G24" i="5"/>
  <c r="H24" i="5"/>
  <c r="J24" i="5"/>
  <c r="K24" i="5"/>
  <c r="L24" i="5"/>
  <c r="M24" i="5"/>
  <c r="O24" i="5"/>
  <c r="P24" i="5"/>
  <c r="Q24" i="5"/>
  <c r="R24" i="5"/>
  <c r="T24" i="5"/>
  <c r="U24" i="5"/>
  <c r="V24" i="5"/>
  <c r="W24" i="5"/>
  <c r="AB24" i="5"/>
  <c r="AC24" i="5"/>
  <c r="AD24" i="5"/>
  <c r="B4" i="10"/>
  <c r="C4" i="10"/>
  <c r="E3" i="12"/>
  <c r="D4" i="10"/>
  <c r="E4" i="10"/>
  <c r="F4" i="10"/>
  <c r="G4" i="10"/>
  <c r="H4" i="10"/>
  <c r="J3" i="12"/>
  <c r="I4" i="10"/>
  <c r="K3" i="12"/>
  <c r="J4" i="10"/>
  <c r="L3" i="12"/>
  <c r="K4" i="10"/>
  <c r="M3" i="12"/>
  <c r="L4" i="10"/>
  <c r="M4" i="10"/>
  <c r="O3" i="12"/>
  <c r="N4" i="10"/>
  <c r="P3" i="12"/>
  <c r="O4" i="10"/>
  <c r="Q3" i="12"/>
  <c r="P4" i="10"/>
  <c r="R3" i="12"/>
  <c r="Q4" i="10"/>
  <c r="R4" i="10"/>
  <c r="S4" i="10"/>
  <c r="T4" i="10"/>
  <c r="U4" i="10"/>
  <c r="V4" i="10"/>
  <c r="W4" i="10"/>
  <c r="X4" i="10"/>
  <c r="Y4" i="10"/>
  <c r="Z4" i="10"/>
  <c r="AA4" i="10"/>
  <c r="AB4" i="10"/>
  <c r="AD2" i="5"/>
  <c r="AE25" i="5"/>
  <c r="AE24" i="5"/>
  <c r="AF24" i="5"/>
  <c r="AE23" i="5"/>
  <c r="U7" i="10"/>
  <c r="V7" i="10"/>
  <c r="W7" i="10"/>
  <c r="X7" i="10"/>
  <c r="Y7" i="10"/>
  <c r="Z7" i="10"/>
  <c r="AA7" i="10"/>
  <c r="AB7" i="10"/>
  <c r="AC7" i="10"/>
  <c r="AD7" i="10"/>
  <c r="D6" i="10"/>
  <c r="E6" i="10"/>
  <c r="F6" i="10"/>
  <c r="G6" i="10"/>
  <c r="H6" i="10"/>
  <c r="I6" i="10"/>
  <c r="J6" i="10"/>
  <c r="K6" i="10"/>
  <c r="L6" i="10"/>
  <c r="M6" i="10"/>
  <c r="N6" i="10"/>
  <c r="O6" i="10"/>
  <c r="P6" i="10"/>
  <c r="Q6" i="10"/>
  <c r="S7" i="12"/>
  <c r="R6" i="10"/>
  <c r="S6" i="10"/>
  <c r="T6" i="10"/>
  <c r="U6" i="10"/>
  <c r="V6" i="10"/>
  <c r="W6" i="10"/>
  <c r="X6" i="10"/>
  <c r="Y6" i="10"/>
  <c r="Z6" i="10"/>
  <c r="AA6" i="10"/>
  <c r="AB6" i="10"/>
  <c r="AC6" i="10"/>
  <c r="AD6" i="10"/>
  <c r="B5" i="10"/>
  <c r="C5" i="10"/>
  <c r="E4" i="12"/>
  <c r="D5" i="10"/>
  <c r="E5" i="10"/>
  <c r="F5" i="10"/>
  <c r="G5" i="10"/>
  <c r="H5" i="10"/>
  <c r="J4" i="12"/>
  <c r="I5" i="10"/>
  <c r="K4" i="12"/>
  <c r="J5" i="10"/>
  <c r="L4" i="12"/>
  <c r="K5" i="10"/>
  <c r="M4" i="12"/>
  <c r="L5" i="10"/>
  <c r="M5" i="10"/>
  <c r="O4" i="12"/>
  <c r="N5" i="10"/>
  <c r="P4" i="12"/>
  <c r="O5" i="10"/>
  <c r="Q4" i="12"/>
  <c r="P5" i="10"/>
  <c r="R4" i="12"/>
  <c r="Q5" i="10"/>
  <c r="R5" i="10"/>
  <c r="S5" i="10"/>
  <c r="T5" i="10"/>
  <c r="U5" i="10"/>
  <c r="V5" i="10"/>
  <c r="W5" i="10"/>
  <c r="X5" i="10"/>
  <c r="Y5" i="10"/>
  <c r="Z5" i="10"/>
  <c r="AA5" i="10"/>
  <c r="AB5" i="10"/>
  <c r="AC5" i="10"/>
  <c r="AD5" i="10"/>
  <c r="AC4" i="10"/>
  <c r="AD4" i="10"/>
  <c r="AE4" i="10"/>
  <c r="AF4" i="10"/>
  <c r="D3" i="17"/>
  <c r="B3" i="17"/>
  <c r="E3" i="17"/>
  <c r="I3" i="17"/>
  <c r="J3" i="17"/>
  <c r="K3" i="17"/>
  <c r="L3" i="17"/>
  <c r="AB3" i="17"/>
  <c r="U21" i="17"/>
  <c r="T21" i="17"/>
  <c r="S21" i="17"/>
  <c r="R21" i="17"/>
  <c r="Q21" i="17"/>
  <c r="P21" i="17"/>
  <c r="O21" i="17"/>
  <c r="N21" i="17"/>
  <c r="M21" i="17"/>
  <c r="L21" i="17"/>
  <c r="K21" i="17"/>
  <c r="J21" i="17"/>
  <c r="I21" i="17"/>
  <c r="H21" i="17"/>
  <c r="G21" i="17"/>
  <c r="F21" i="17"/>
  <c r="E21" i="17"/>
  <c r="D21" i="17"/>
  <c r="C21" i="17"/>
  <c r="U15" i="17"/>
  <c r="T15" i="17"/>
  <c r="S15" i="17"/>
  <c r="R15" i="17"/>
  <c r="Q15" i="17"/>
  <c r="P15" i="17"/>
  <c r="O15" i="17"/>
  <c r="N15" i="17"/>
  <c r="M15" i="17"/>
  <c r="L15" i="17"/>
  <c r="K15" i="17"/>
  <c r="J15" i="17"/>
  <c r="I15" i="17"/>
  <c r="H15" i="17"/>
  <c r="G15" i="17"/>
  <c r="F15" i="17"/>
  <c r="E15" i="17"/>
  <c r="D15" i="17"/>
  <c r="C15" i="17"/>
  <c r="C28" i="17"/>
  <c r="D28" i="17"/>
  <c r="E28"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AK28" i="17"/>
  <c r="AL28" i="17"/>
  <c r="AM28" i="17"/>
  <c r="AN28" i="17"/>
  <c r="AO28" i="17"/>
  <c r="AP28" i="17"/>
  <c r="B21" i="17"/>
  <c r="B15" i="17"/>
  <c r="B28" i="17"/>
  <c r="C27" i="17"/>
  <c r="D27" i="17"/>
  <c r="E27"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AK27" i="17"/>
  <c r="AL27" i="17"/>
  <c r="AM27" i="17"/>
  <c r="AN27" i="17"/>
  <c r="AO27" i="17"/>
  <c r="AP27" i="17"/>
  <c r="B27" i="17"/>
  <c r="C22" i="17"/>
  <c r="D22" i="17"/>
  <c r="E22"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N22" i="17"/>
  <c r="AO22" i="17"/>
  <c r="AP22" i="17"/>
  <c r="B22" i="17"/>
  <c r="C16" i="17"/>
  <c r="D16" i="17"/>
  <c r="E16"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AJ16" i="17"/>
  <c r="AK16" i="17"/>
  <c r="AL16" i="17"/>
  <c r="AM16" i="17"/>
  <c r="AN16" i="17"/>
  <c r="AO16" i="17"/>
  <c r="AP16" i="17"/>
  <c r="B16" i="17"/>
  <c r="AB3" i="12"/>
  <c r="AC3" i="12"/>
  <c r="AD3" i="12"/>
  <c r="AB13" i="10"/>
  <c r="AC13" i="10"/>
  <c r="AD13" i="10"/>
  <c r="AB14" i="10"/>
  <c r="AC14" i="10"/>
  <c r="AB15" i="10"/>
  <c r="AC15" i="10"/>
  <c r="AD15" i="10"/>
  <c r="AB5" i="15"/>
  <c r="AC5" i="15"/>
  <c r="AD5" i="15"/>
  <c r="AE5" i="15"/>
  <c r="AF5" i="15"/>
  <c r="AG5" i="15"/>
  <c r="AH5" i="15"/>
  <c r="AI5" i="15"/>
  <c r="AJ5" i="15"/>
  <c r="AK5" i="15"/>
  <c r="AL5" i="15"/>
  <c r="AM5" i="15"/>
  <c r="AN5" i="15"/>
  <c r="AO5" i="15"/>
  <c r="AP5" i="15"/>
  <c r="AB2" i="7"/>
  <c r="AC2" i="7"/>
  <c r="AD2" i="7"/>
  <c r="C2" i="9"/>
  <c r="B2" i="9"/>
  <c r="M2" i="9"/>
  <c r="N2" i="9"/>
  <c r="O2" i="9"/>
  <c r="P2" i="9"/>
  <c r="Q2" i="9"/>
  <c r="R2" i="9"/>
  <c r="Z2" i="9"/>
  <c r="AA2" i="9"/>
  <c r="AB2" i="9"/>
  <c r="AB3" i="9"/>
  <c r="AB5" i="9"/>
  <c r="AC2" i="9"/>
  <c r="AC3" i="9"/>
  <c r="AC5" i="9"/>
  <c r="AD2" i="9"/>
  <c r="AD3" i="9"/>
  <c r="AD5" i="9"/>
  <c r="AE2" i="9"/>
  <c r="AE3" i="9"/>
  <c r="AE5" i="9"/>
  <c r="AF2" i="9"/>
  <c r="AF3" i="9"/>
  <c r="AF5" i="9"/>
  <c r="AG2" i="9"/>
  <c r="AG3" i="9"/>
  <c r="AG5" i="9"/>
  <c r="AH2" i="9"/>
  <c r="AH3" i="9"/>
  <c r="AH5" i="9"/>
  <c r="AI2" i="9"/>
  <c r="AI3" i="9"/>
  <c r="AI5" i="9"/>
  <c r="AJ2" i="9"/>
  <c r="AJ3" i="9"/>
  <c r="AJ5" i="9"/>
  <c r="AK2" i="9"/>
  <c r="AK3" i="9"/>
  <c r="AK5" i="9"/>
  <c r="AL2" i="9"/>
  <c r="AL3" i="9"/>
  <c r="AL5" i="9"/>
  <c r="AM2" i="9"/>
  <c r="AM3" i="9"/>
  <c r="AM5" i="9"/>
  <c r="AN2" i="9"/>
  <c r="AN3" i="9"/>
  <c r="AN5" i="9"/>
  <c r="AO2" i="9"/>
  <c r="AO3" i="9"/>
  <c r="AO5" i="9"/>
  <c r="AP2" i="9"/>
  <c r="AP3" i="9"/>
  <c r="AP5" i="9"/>
  <c r="AB4" i="9"/>
  <c r="AC4" i="9"/>
  <c r="AD4" i="9"/>
  <c r="AE4" i="9"/>
  <c r="AF4" i="9"/>
  <c r="AG4" i="9"/>
  <c r="AH4" i="9"/>
  <c r="AI4" i="9"/>
  <c r="AJ4" i="9"/>
  <c r="AK4" i="9"/>
  <c r="AL4" i="9"/>
  <c r="AM4" i="9"/>
  <c r="AN4" i="9"/>
  <c r="AO4" i="9"/>
  <c r="AP4" i="9"/>
  <c r="AB8" i="12"/>
  <c r="AC8" i="12"/>
  <c r="AD8" i="12"/>
  <c r="AE8" i="12"/>
  <c r="AF8" i="12"/>
  <c r="AG8" i="12"/>
  <c r="AH8" i="12"/>
  <c r="AI8" i="12"/>
  <c r="AJ8" i="12"/>
  <c r="AK8" i="12"/>
  <c r="AB9" i="12"/>
  <c r="AC9" i="12"/>
  <c r="AD9" i="12"/>
  <c r="AB16" i="10"/>
  <c r="AC16" i="10"/>
  <c r="AD16" i="10"/>
  <c r="AE16" i="10"/>
  <c r="AF16" i="10"/>
  <c r="C10" i="12"/>
  <c r="E10" i="12"/>
  <c r="F10" i="12"/>
  <c r="G10" i="12"/>
  <c r="H10" i="12"/>
  <c r="O10" i="12"/>
  <c r="P10" i="12"/>
  <c r="Q10" i="12"/>
  <c r="R10" i="12"/>
  <c r="AB10" i="12"/>
  <c r="AC10" i="12"/>
  <c r="AD10" i="12"/>
  <c r="E2" i="12"/>
  <c r="O2" i="12"/>
  <c r="P2" i="12"/>
  <c r="Q2" i="12"/>
  <c r="R2" i="12"/>
  <c r="AB2" i="12"/>
  <c r="AC2" i="12"/>
  <c r="AD2" i="12"/>
  <c r="AE2" i="12"/>
  <c r="AF2" i="12"/>
  <c r="AB4" i="12"/>
  <c r="AC4" i="12"/>
  <c r="AD4" i="12"/>
  <c r="AE4" i="12"/>
  <c r="AF4" i="12"/>
  <c r="AG4" i="12"/>
  <c r="AH4" i="12"/>
  <c r="E5" i="12"/>
  <c r="J5" i="12"/>
  <c r="K5" i="12"/>
  <c r="L5" i="12"/>
  <c r="M5" i="12"/>
  <c r="O5" i="12"/>
  <c r="P5" i="12"/>
  <c r="Q5" i="12"/>
  <c r="R5" i="12"/>
  <c r="AB5" i="12"/>
  <c r="AC5" i="12"/>
  <c r="AB6" i="12"/>
  <c r="AC6" i="12"/>
  <c r="AD6" i="12"/>
  <c r="AE6" i="12"/>
  <c r="AF6" i="12"/>
  <c r="AB7" i="12"/>
  <c r="AC7" i="12"/>
  <c r="AD7" i="12"/>
  <c r="AE7" i="12"/>
  <c r="C2" i="1"/>
  <c r="M2" i="1"/>
  <c r="N2" i="1"/>
  <c r="O2" i="1"/>
  <c r="P2" i="1"/>
  <c r="Q2" i="1"/>
  <c r="R2" i="1"/>
  <c r="Z2" i="1"/>
  <c r="AA2" i="1"/>
  <c r="B2" i="1"/>
  <c r="AB2" i="1"/>
  <c r="AC2" i="1"/>
  <c r="AD2" i="1"/>
  <c r="C3" i="1"/>
  <c r="M3" i="1"/>
  <c r="N3" i="1"/>
  <c r="O3" i="1"/>
  <c r="P3" i="1"/>
  <c r="Q3" i="1"/>
  <c r="R3" i="1"/>
  <c r="Z3" i="1"/>
  <c r="AA3" i="1"/>
  <c r="B3" i="1"/>
  <c r="AB3" i="1"/>
  <c r="AC3" i="1"/>
  <c r="C4" i="1"/>
  <c r="M4" i="1"/>
  <c r="N4" i="1"/>
  <c r="O4" i="1"/>
  <c r="P4" i="1"/>
  <c r="Q4" i="1"/>
  <c r="R4" i="1"/>
  <c r="Z4" i="1"/>
  <c r="AA4" i="1"/>
  <c r="B4" i="1"/>
  <c r="AB4" i="1"/>
  <c r="AC4" i="1"/>
  <c r="AD4" i="1"/>
  <c r="AE4" i="1"/>
  <c r="C5" i="1"/>
  <c r="M5" i="1"/>
  <c r="N5" i="1"/>
  <c r="O5" i="1"/>
  <c r="P5" i="1"/>
  <c r="Q5" i="1"/>
  <c r="R5" i="1"/>
  <c r="Z5" i="1"/>
  <c r="AA5" i="1"/>
  <c r="B5" i="1"/>
  <c r="AB5" i="1"/>
  <c r="AC5" i="1"/>
  <c r="AD5" i="1"/>
  <c r="C6" i="1"/>
  <c r="D6" i="1"/>
  <c r="E6" i="1"/>
  <c r="F6" i="1"/>
  <c r="G6" i="1"/>
  <c r="H6" i="1"/>
  <c r="I6" i="1"/>
  <c r="J6" i="1"/>
  <c r="K6" i="1"/>
  <c r="L6" i="1"/>
  <c r="M6" i="1"/>
  <c r="N6" i="1"/>
  <c r="O6" i="1"/>
  <c r="P6" i="1"/>
  <c r="Q6" i="1"/>
  <c r="R6" i="1"/>
  <c r="S6" i="1"/>
  <c r="T6" i="1"/>
  <c r="U6" i="1"/>
  <c r="V6" i="1"/>
  <c r="W6" i="1"/>
  <c r="X6" i="1"/>
  <c r="Y6" i="1"/>
  <c r="Z6" i="1"/>
  <c r="AA6" i="1"/>
  <c r="B6" i="1"/>
  <c r="AB6" i="1"/>
  <c r="AC6" i="1"/>
  <c r="AD6" i="1"/>
  <c r="AB2" i="4"/>
  <c r="AC2" i="4"/>
  <c r="AD2" i="4"/>
  <c r="C2" i="8"/>
  <c r="M2" i="8"/>
  <c r="N2" i="8"/>
  <c r="O2" i="8"/>
  <c r="P2" i="8"/>
  <c r="Q2" i="8"/>
  <c r="R2" i="8"/>
  <c r="Z2" i="8"/>
  <c r="AA2" i="8"/>
  <c r="B2" i="8"/>
  <c r="AB2" i="8"/>
  <c r="AC2" i="8"/>
  <c r="AD2" i="8"/>
  <c r="C3" i="14"/>
  <c r="C4" i="14"/>
  <c r="D3" i="14"/>
  <c r="D4" i="14"/>
  <c r="E4" i="14"/>
  <c r="F4" i="14"/>
  <c r="G3" i="14"/>
  <c r="G4" i="14"/>
  <c r="H3" i="14"/>
  <c r="H4" i="14"/>
  <c r="I3" i="14"/>
  <c r="I4" i="14"/>
  <c r="J3" i="14"/>
  <c r="J4" i="14"/>
  <c r="K3" i="14"/>
  <c r="K4" i="14"/>
  <c r="L3" i="14"/>
  <c r="L4" i="14"/>
  <c r="M3" i="14"/>
  <c r="M4" i="14"/>
  <c r="N3" i="14"/>
  <c r="N4" i="14"/>
  <c r="O3" i="14"/>
  <c r="O4" i="14"/>
  <c r="P3" i="14"/>
  <c r="P4" i="14"/>
  <c r="Q3" i="14"/>
  <c r="Q4" i="14"/>
  <c r="R4" i="14"/>
  <c r="S4" i="14"/>
  <c r="T4" i="14"/>
  <c r="U4" i="14"/>
  <c r="V4" i="14"/>
  <c r="W4" i="14"/>
  <c r="X3" i="14"/>
  <c r="X4" i="14"/>
  <c r="Y3" i="14"/>
  <c r="Y4" i="14"/>
  <c r="Z3" i="14"/>
  <c r="Z4" i="14"/>
  <c r="AA3" i="14"/>
  <c r="AA4" i="14"/>
  <c r="B4" i="14"/>
  <c r="AB4" i="14"/>
  <c r="AC4" i="14"/>
  <c r="AD4" i="14"/>
  <c r="AE2" i="5"/>
  <c r="AF25" i="5"/>
  <c r="AG24" i="5"/>
  <c r="AF23" i="5"/>
  <c r="AE7" i="10"/>
  <c r="AE6" i="10"/>
  <c r="AE5" i="10"/>
  <c r="AG4" i="10"/>
  <c r="AB8" i="10"/>
  <c r="AE3" i="12"/>
  <c r="AF3" i="12"/>
  <c r="AE13" i="10"/>
  <c r="AD14" i="10"/>
  <c r="AE15" i="10"/>
  <c r="AE2" i="7"/>
  <c r="AE9" i="12"/>
  <c r="AE10" i="12"/>
  <c r="AF7" i="12"/>
  <c r="AI4" i="12"/>
  <c r="AG7" i="12"/>
  <c r="AG6" i="12"/>
  <c r="AG2" i="12"/>
  <c r="AD5" i="12"/>
  <c r="AE5" i="12"/>
  <c r="AJ4" i="12"/>
  <c r="AF4" i="1"/>
  <c r="AG4" i="1"/>
  <c r="AD3" i="1"/>
  <c r="AE3" i="1"/>
  <c r="AE5" i="1"/>
  <c r="AE2" i="1"/>
  <c r="AE6" i="1"/>
  <c r="AF6" i="1"/>
  <c r="AE2" i="4"/>
  <c r="AE2" i="8"/>
  <c r="AE4" i="14"/>
  <c r="C5" i="17"/>
  <c r="F5" i="17"/>
  <c r="G5" i="17"/>
  <c r="H5" i="17"/>
  <c r="B6" i="10"/>
  <c r="B7" i="10"/>
  <c r="C5" i="15"/>
  <c r="D5" i="15"/>
  <c r="E5" i="15"/>
  <c r="F5" i="15"/>
  <c r="G5" i="15"/>
  <c r="H5" i="15"/>
  <c r="I5" i="15"/>
  <c r="J5" i="15"/>
  <c r="K5" i="15"/>
  <c r="L5" i="15"/>
  <c r="M5" i="15"/>
  <c r="N5" i="15"/>
  <c r="O5" i="15"/>
  <c r="P5" i="15"/>
  <c r="Q5" i="15"/>
  <c r="R5" i="15"/>
  <c r="S5" i="15"/>
  <c r="T5" i="15"/>
  <c r="U5" i="15"/>
  <c r="V5" i="15"/>
  <c r="W5" i="15"/>
  <c r="X5" i="15"/>
  <c r="Y2" i="15"/>
  <c r="Y5" i="15"/>
  <c r="Z2" i="15"/>
  <c r="Z5" i="15"/>
  <c r="AA2" i="15"/>
  <c r="AA5" i="15"/>
  <c r="B5" i="15"/>
  <c r="B13" i="4"/>
  <c r="D26" i="5"/>
  <c r="B26" i="5"/>
  <c r="C26" i="5"/>
  <c r="D34" i="5"/>
  <c r="I26" i="5"/>
  <c r="N26" i="5"/>
  <c r="J26" i="5"/>
  <c r="J34" i="5"/>
  <c r="K26" i="5"/>
  <c r="K34" i="5"/>
  <c r="L26" i="5"/>
  <c r="L34" i="5"/>
  <c r="M26" i="5"/>
  <c r="M34" i="5"/>
  <c r="N34" i="5"/>
  <c r="Z34" i="5"/>
  <c r="C34" i="5"/>
  <c r="B27" i="5"/>
  <c r="D27" i="5"/>
  <c r="C27" i="5"/>
  <c r="C28" i="5"/>
  <c r="I27" i="5"/>
  <c r="N27" i="5"/>
  <c r="S27" i="5"/>
  <c r="X27" i="5"/>
  <c r="Y27" i="5"/>
  <c r="Z27" i="5"/>
  <c r="AA27" i="5"/>
  <c r="T28" i="5"/>
  <c r="U28" i="5"/>
  <c r="V28" i="5"/>
  <c r="W28" i="5"/>
  <c r="O28" i="5"/>
  <c r="P28" i="5"/>
  <c r="Q28" i="5"/>
  <c r="R28" i="5"/>
  <c r="J28" i="5"/>
  <c r="K28" i="5"/>
  <c r="L28" i="5"/>
  <c r="M28" i="5"/>
  <c r="E28" i="5"/>
  <c r="F28" i="5"/>
  <c r="G28" i="5"/>
  <c r="H28" i="5"/>
  <c r="X34" i="5"/>
  <c r="O26" i="5"/>
  <c r="O34" i="5"/>
  <c r="E26" i="5"/>
  <c r="F26" i="5"/>
  <c r="G26" i="5"/>
  <c r="H26" i="5"/>
  <c r="AF2" i="5"/>
  <c r="T34" i="5"/>
  <c r="W34" i="5"/>
  <c r="U34" i="5"/>
  <c r="P26" i="5"/>
  <c r="V34" i="5"/>
  <c r="AG25" i="5"/>
  <c r="AH24" i="5"/>
  <c r="AG23" i="5"/>
  <c r="AH23" i="5"/>
  <c r="AF7" i="10"/>
  <c r="AF6" i="10"/>
  <c r="AC8" i="10"/>
  <c r="AF5" i="10"/>
  <c r="AH4" i="10"/>
  <c r="AG3" i="12"/>
  <c r="AE14" i="10"/>
  <c r="AF15" i="10"/>
  <c r="AF14" i="10"/>
  <c r="AF13" i="10"/>
  <c r="AF2" i="7"/>
  <c r="AG2" i="7"/>
  <c r="AF9" i="12"/>
  <c r="AF10" i="12"/>
  <c r="AH6" i="12"/>
  <c r="AI6" i="12"/>
  <c r="AJ6" i="12"/>
  <c r="AH7" i="12"/>
  <c r="AI7" i="12"/>
  <c r="AK4" i="12"/>
  <c r="AL4" i="12"/>
  <c r="AH2" i="12"/>
  <c r="AF5" i="12"/>
  <c r="AG5" i="12"/>
  <c r="AF5" i="1"/>
  <c r="AG6" i="1"/>
  <c r="AH4" i="1"/>
  <c r="AF2" i="1"/>
  <c r="AF3" i="1"/>
  <c r="AH6" i="1"/>
  <c r="AG2" i="1"/>
  <c r="AG5" i="1"/>
  <c r="AF2" i="4"/>
  <c r="AF2" i="8"/>
  <c r="AF4" i="14"/>
  <c r="B17" i="13"/>
  <c r="C17" i="13"/>
  <c r="D17" i="13"/>
  <c r="E17" i="13"/>
  <c r="F17" i="13"/>
  <c r="G17" i="13"/>
  <c r="B18" i="13"/>
  <c r="C18" i="13"/>
  <c r="D18" i="13"/>
  <c r="E18" i="13"/>
  <c r="F18" i="13"/>
  <c r="G18" i="13"/>
  <c r="B19" i="13"/>
  <c r="C19" i="13"/>
  <c r="D19" i="13"/>
  <c r="E19" i="13"/>
  <c r="F19" i="13"/>
  <c r="G19" i="13"/>
  <c r="B20" i="13"/>
  <c r="C20" i="13"/>
  <c r="D20" i="13"/>
  <c r="E20" i="13"/>
  <c r="F20" i="13"/>
  <c r="G20" i="13"/>
  <c r="AG2" i="5"/>
  <c r="AH2" i="5"/>
  <c r="AI2" i="5"/>
  <c r="AJ2" i="5"/>
  <c r="AK2" i="5"/>
  <c r="AL2" i="5"/>
  <c r="AM2" i="5"/>
  <c r="AN2" i="5"/>
  <c r="AO2" i="5"/>
  <c r="AP2" i="5"/>
  <c r="Q26" i="5"/>
  <c r="P34" i="5"/>
  <c r="AH25" i="5"/>
  <c r="AI25" i="5"/>
  <c r="AJ25" i="5"/>
  <c r="AI24" i="5"/>
  <c r="AI23" i="5"/>
  <c r="AG7" i="10"/>
  <c r="AG6" i="10"/>
  <c r="AG5" i="10"/>
  <c r="AI4" i="10"/>
  <c r="AD8" i="10"/>
  <c r="AE8" i="10"/>
  <c r="AH3" i="12"/>
  <c r="AG13" i="10"/>
  <c r="AG14" i="10"/>
  <c r="AG15" i="10"/>
  <c r="AH2" i="7"/>
  <c r="AI2" i="7"/>
  <c r="AJ2" i="7"/>
  <c r="AK2" i="7"/>
  <c r="AG9" i="12"/>
  <c r="AH9" i="12"/>
  <c r="AG16" i="10"/>
  <c r="AH16" i="10"/>
  <c r="AG10" i="12"/>
  <c r="AH10" i="12"/>
  <c r="AI10" i="12"/>
  <c r="AJ10" i="12"/>
  <c r="AK6" i="12"/>
  <c r="AL6" i="12"/>
  <c r="AI2" i="12"/>
  <c r="AJ2" i="12"/>
  <c r="AJ7" i="12"/>
  <c r="AM4" i="12"/>
  <c r="AN4" i="12"/>
  <c r="AH5" i="12"/>
  <c r="AH5" i="1"/>
  <c r="AI5" i="1"/>
  <c r="AI6" i="1"/>
  <c r="AI4" i="1"/>
  <c r="AG3" i="1"/>
  <c r="AH2" i="1"/>
  <c r="AG2" i="4"/>
  <c r="AG2" i="8"/>
  <c r="AG4" i="14"/>
  <c r="C4" i="17"/>
  <c r="D2" i="17"/>
  <c r="D4" i="17"/>
  <c r="F4" i="17"/>
  <c r="G4" i="17"/>
  <c r="H4" i="17"/>
  <c r="M2" i="17"/>
  <c r="M4" i="17"/>
  <c r="T2" i="17"/>
  <c r="T4" i="17"/>
  <c r="U2" i="17"/>
  <c r="U4" i="17"/>
  <c r="X2" i="17"/>
  <c r="X4" i="17"/>
  <c r="AA2" i="17"/>
  <c r="AA5" i="17"/>
  <c r="Z2" i="17"/>
  <c r="Z5" i="17"/>
  <c r="Y2" i="17"/>
  <c r="Y5" i="17"/>
  <c r="X5" i="17"/>
  <c r="W2" i="17"/>
  <c r="W5" i="17"/>
  <c r="V2" i="17"/>
  <c r="V5" i="17"/>
  <c r="U5" i="17"/>
  <c r="T5" i="17"/>
  <c r="S2" i="17"/>
  <c r="S5" i="17"/>
  <c r="R2" i="17"/>
  <c r="R5" i="17"/>
  <c r="Q2" i="17"/>
  <c r="Q5" i="17"/>
  <c r="P2" i="17"/>
  <c r="P5" i="17"/>
  <c r="O2" i="17"/>
  <c r="O5" i="17"/>
  <c r="N2" i="17"/>
  <c r="N5" i="17"/>
  <c r="M5" i="17"/>
  <c r="R26" i="5"/>
  <c r="AB26" i="5"/>
  <c r="Q34" i="5"/>
  <c r="AK25" i="5"/>
  <c r="AL25" i="5"/>
  <c r="AM25" i="5"/>
  <c r="AN25" i="5"/>
  <c r="AO25" i="5"/>
  <c r="AP25" i="5"/>
  <c r="AJ24" i="5"/>
  <c r="AK24" i="5"/>
  <c r="AL24" i="5"/>
  <c r="AM24" i="5"/>
  <c r="AN24" i="5"/>
  <c r="AO24" i="5"/>
  <c r="AP24" i="5"/>
  <c r="AJ23" i="5"/>
  <c r="AK23" i="5"/>
  <c r="AL23" i="5"/>
  <c r="AM23" i="5"/>
  <c r="AN23" i="5"/>
  <c r="AO23" i="5"/>
  <c r="AP23" i="5"/>
  <c r="AH7" i="10"/>
  <c r="AI7" i="10"/>
  <c r="AJ7" i="10"/>
  <c r="AK7" i="10"/>
  <c r="AH6" i="10"/>
  <c r="AH5" i="10"/>
  <c r="AI5" i="10"/>
  <c r="AJ4" i="10"/>
  <c r="AF8" i="10"/>
  <c r="R4" i="17"/>
  <c r="I2" i="17"/>
  <c r="P4" i="17"/>
  <c r="B2" i="17"/>
  <c r="B5" i="17"/>
  <c r="AA4" i="17"/>
  <c r="Z4" i="17"/>
  <c r="Y4" i="17"/>
  <c r="W4" i="17"/>
  <c r="O4" i="17"/>
  <c r="S4" i="17"/>
  <c r="E2" i="17"/>
  <c r="Q4" i="17"/>
  <c r="D5" i="17"/>
  <c r="B4" i="17"/>
  <c r="V4" i="17"/>
  <c r="N4" i="17"/>
  <c r="AI3" i="12"/>
  <c r="AH15" i="10"/>
  <c r="AI15" i="10"/>
  <c r="AJ15" i="10"/>
  <c r="AH14" i="10"/>
  <c r="AI14" i="10"/>
  <c r="AJ14" i="10"/>
  <c r="AK14" i="10"/>
  <c r="AH13" i="10"/>
  <c r="AL2" i="7"/>
  <c r="AM2" i="7"/>
  <c r="AI9" i="12"/>
  <c r="AI16" i="10"/>
  <c r="AJ16" i="10"/>
  <c r="AK10" i="12"/>
  <c r="AL10" i="12"/>
  <c r="AO4" i="12"/>
  <c r="AP4" i="12"/>
  <c r="AK2" i="12"/>
  <c r="AL2" i="12"/>
  <c r="AI5" i="12"/>
  <c r="AJ5" i="12"/>
  <c r="AK5" i="12"/>
  <c r="AM6" i="12"/>
  <c r="AK7" i="12"/>
  <c r="AL7" i="12"/>
  <c r="AM7" i="12"/>
  <c r="AN7" i="12"/>
  <c r="AJ5" i="1"/>
  <c r="AK5" i="1"/>
  <c r="AL5" i="1"/>
  <c r="AH3" i="1"/>
  <c r="AJ4" i="1"/>
  <c r="AJ6" i="1"/>
  <c r="AI2" i="1"/>
  <c r="AH2" i="4"/>
  <c r="AH2" i="8"/>
  <c r="AI2" i="8"/>
  <c r="AH4" i="14"/>
  <c r="Y11" i="15"/>
  <c r="Z11" i="15"/>
  <c r="AA11" i="15"/>
  <c r="V13" i="15"/>
  <c r="W13" i="15"/>
  <c r="U13" i="15"/>
  <c r="AC26" i="5"/>
  <c r="AD26" i="5"/>
  <c r="S34" i="5"/>
  <c r="R34" i="5"/>
  <c r="AL7" i="10"/>
  <c r="AM7" i="10"/>
  <c r="AN7" i="10"/>
  <c r="AO7" i="10"/>
  <c r="AP7" i="10"/>
  <c r="AI6" i="10"/>
  <c r="AJ6" i="10"/>
  <c r="AK6" i="10"/>
  <c r="AL6" i="10"/>
  <c r="AM6" i="10"/>
  <c r="AN6" i="10"/>
  <c r="AO6" i="10"/>
  <c r="AP6" i="10"/>
  <c r="AJ5" i="10"/>
  <c r="AK5" i="10"/>
  <c r="AL5" i="10"/>
  <c r="AM5" i="10"/>
  <c r="AN5" i="10"/>
  <c r="AO5" i="10"/>
  <c r="AP5" i="10"/>
  <c r="AK4" i="10"/>
  <c r="AL4" i="10"/>
  <c r="AM4" i="10"/>
  <c r="AN4" i="10"/>
  <c r="AO4" i="10"/>
  <c r="AP4" i="10"/>
  <c r="E4" i="17"/>
  <c r="E5" i="17"/>
  <c r="J2" i="17"/>
  <c r="K2" i="17"/>
  <c r="L2" i="17"/>
  <c r="J5" i="17"/>
  <c r="J4" i="17"/>
  <c r="AB2" i="17"/>
  <c r="AC2" i="17"/>
  <c r="AD2" i="17"/>
  <c r="I5" i="17"/>
  <c r="I4" i="17"/>
  <c r="AJ3" i="12"/>
  <c r="AL14" i="10"/>
  <c r="AM14" i="10"/>
  <c r="AN14" i="10"/>
  <c r="AO14" i="10"/>
  <c r="AP14" i="10"/>
  <c r="AK15" i="10"/>
  <c r="AL15" i="10"/>
  <c r="AM15" i="10"/>
  <c r="AN15" i="10"/>
  <c r="AO15" i="10"/>
  <c r="AP15" i="10"/>
  <c r="AI13" i="10"/>
  <c r="AJ13" i="10"/>
  <c r="AK13" i="10"/>
  <c r="AL13" i="10"/>
  <c r="AM13" i="10"/>
  <c r="AN13" i="10"/>
  <c r="AO13" i="10"/>
  <c r="AP13" i="10"/>
  <c r="AN2" i="7"/>
  <c r="AO2" i="7"/>
  <c r="AP2" i="7"/>
  <c r="AJ9" i="12"/>
  <c r="AK16" i="10"/>
  <c r="AL16" i="10"/>
  <c r="AM16" i="10"/>
  <c r="AN16" i="10"/>
  <c r="AO16" i="10"/>
  <c r="AP16" i="10"/>
  <c r="AM10" i="12"/>
  <c r="AN10" i="12"/>
  <c r="AO10" i="12"/>
  <c r="AP10" i="12"/>
  <c r="AO7" i="12"/>
  <c r="AP7" i="12"/>
  <c r="AN6" i="12"/>
  <c r="AO6" i="12"/>
  <c r="AP6" i="12"/>
  <c r="AM2" i="12"/>
  <c r="AL5" i="12"/>
  <c r="AM5" i="12"/>
  <c r="AN5" i="12"/>
  <c r="AO5" i="12"/>
  <c r="AP5" i="12"/>
  <c r="AM5" i="1"/>
  <c r="AN5" i="1"/>
  <c r="AO5" i="1"/>
  <c r="AP5" i="1"/>
  <c r="AK6" i="1"/>
  <c r="AL6" i="1"/>
  <c r="AJ2" i="1"/>
  <c r="AI3" i="1"/>
  <c r="AK4" i="1"/>
  <c r="AI2" i="4"/>
  <c r="AJ2" i="4"/>
  <c r="AK2" i="4"/>
  <c r="AL2" i="4"/>
  <c r="AM2" i="4"/>
  <c r="AN2" i="4"/>
  <c r="AO2" i="4"/>
  <c r="AP2" i="4"/>
  <c r="AJ2" i="8"/>
  <c r="AK2" i="8"/>
  <c r="AL2" i="8"/>
  <c r="AM2" i="8"/>
  <c r="AN2" i="8"/>
  <c r="AO2" i="8"/>
  <c r="AP2" i="8"/>
  <c r="AI4" i="14"/>
  <c r="AJ4" i="14"/>
  <c r="AK4" i="14"/>
  <c r="AL4" i="14"/>
  <c r="AM4" i="14"/>
  <c r="AN4" i="14"/>
  <c r="AO4" i="14"/>
  <c r="AP4" i="14"/>
  <c r="C43" i="2"/>
  <c r="D43" i="2"/>
  <c r="E43" i="2"/>
  <c r="F43" i="2"/>
  <c r="G43" i="2"/>
  <c r="H43" i="2"/>
  <c r="I43" i="2"/>
  <c r="J43" i="2"/>
  <c r="K43" i="2"/>
  <c r="L43" i="2"/>
  <c r="M43" i="2"/>
  <c r="N43" i="2"/>
  <c r="O43" i="2"/>
  <c r="P43" i="2"/>
  <c r="Q43" i="2"/>
  <c r="R43" i="2"/>
  <c r="S43" i="2"/>
  <c r="T43" i="2"/>
  <c r="U43" i="2"/>
  <c r="V43" i="2"/>
  <c r="W43" i="2"/>
  <c r="X43" i="2"/>
  <c r="Y43" i="2"/>
  <c r="Z43" i="2"/>
  <c r="AA43" i="2"/>
  <c r="B43" i="2"/>
  <c r="T17" i="5"/>
  <c r="U17" i="5"/>
  <c r="V17" i="5"/>
  <c r="W17" i="5"/>
  <c r="X17" i="5"/>
  <c r="Y17" i="5"/>
  <c r="Z17" i="5"/>
  <c r="AA17" i="5"/>
  <c r="Q17" i="5"/>
  <c r="R17" i="5"/>
  <c r="S17" i="5"/>
  <c r="M17" i="5"/>
  <c r="N17" i="5"/>
  <c r="O17" i="5"/>
  <c r="P17" i="5"/>
  <c r="G17" i="5"/>
  <c r="H17" i="5"/>
  <c r="I17" i="5"/>
  <c r="J17" i="5"/>
  <c r="C17" i="5"/>
  <c r="D17" i="5"/>
  <c r="E17" i="5"/>
  <c r="F17" i="5"/>
  <c r="K17" i="5"/>
  <c r="L17" i="5"/>
  <c r="B17" i="5"/>
  <c r="C40" i="2"/>
  <c r="D40" i="2"/>
  <c r="E40" i="2"/>
  <c r="F40" i="2"/>
  <c r="G40" i="2"/>
  <c r="H40" i="2"/>
  <c r="I40" i="2"/>
  <c r="J40" i="2"/>
  <c r="K40" i="2"/>
  <c r="L40" i="2"/>
  <c r="M40" i="2"/>
  <c r="N40" i="2"/>
  <c r="O40" i="2"/>
  <c r="P40" i="2"/>
  <c r="Q40" i="2"/>
  <c r="R40" i="2"/>
  <c r="S40" i="2"/>
  <c r="T40" i="2"/>
  <c r="U40" i="2"/>
  <c r="V40" i="2"/>
  <c r="W40" i="2"/>
  <c r="X40" i="2"/>
  <c r="Y40" i="2"/>
  <c r="Z40" i="2"/>
  <c r="AA40" i="2"/>
  <c r="B40" i="2"/>
  <c r="C37" i="2"/>
  <c r="D37" i="2"/>
  <c r="E37" i="2"/>
  <c r="F37" i="2"/>
  <c r="G37" i="2"/>
  <c r="H37" i="2"/>
  <c r="I37" i="2"/>
  <c r="J37" i="2"/>
  <c r="K37" i="2"/>
  <c r="L37" i="2"/>
  <c r="M37" i="2"/>
  <c r="N37" i="2"/>
  <c r="O37" i="2"/>
  <c r="P37" i="2"/>
  <c r="Q37" i="2"/>
  <c r="R37" i="2"/>
  <c r="S37" i="2"/>
  <c r="T37" i="2"/>
  <c r="U37" i="2"/>
  <c r="V37" i="2"/>
  <c r="W37" i="2"/>
  <c r="X37" i="2"/>
  <c r="Y37" i="2"/>
  <c r="Z37" i="2"/>
  <c r="AA37" i="2"/>
  <c r="B37" i="2"/>
  <c r="D23" i="2"/>
  <c r="I23" i="2"/>
  <c r="J7" i="2"/>
  <c r="K7" i="2"/>
  <c r="K23" i="2"/>
  <c r="N23" i="2"/>
  <c r="S23" i="2"/>
  <c r="X23" i="2"/>
  <c r="Y23" i="2"/>
  <c r="Z23" i="2"/>
  <c r="B23" i="2"/>
  <c r="T7" i="2"/>
  <c r="U7" i="2"/>
  <c r="V7" i="2"/>
  <c r="W7" i="2"/>
  <c r="W23" i="2"/>
  <c r="O7" i="2"/>
  <c r="P7" i="2"/>
  <c r="Q7" i="2"/>
  <c r="R7" i="2"/>
  <c r="R23" i="2"/>
  <c r="L7" i="2"/>
  <c r="M7" i="2"/>
  <c r="M23" i="2"/>
  <c r="E7" i="2"/>
  <c r="E23" i="2"/>
  <c r="C7" i="2"/>
  <c r="C23" i="2"/>
  <c r="C34" i="2"/>
  <c r="D34" i="2"/>
  <c r="E34" i="2"/>
  <c r="F34" i="2"/>
  <c r="G34" i="2"/>
  <c r="H34" i="2"/>
  <c r="I34" i="2"/>
  <c r="J34" i="2"/>
  <c r="K34" i="2"/>
  <c r="L34" i="2"/>
  <c r="M34" i="2"/>
  <c r="N34" i="2"/>
  <c r="O34" i="2"/>
  <c r="P34" i="2"/>
  <c r="Q34" i="2"/>
  <c r="R34" i="2"/>
  <c r="S34" i="2"/>
  <c r="T34" i="2"/>
  <c r="U34" i="2"/>
  <c r="V34" i="2"/>
  <c r="W34" i="2"/>
  <c r="X34" i="2"/>
  <c r="Y34" i="2"/>
  <c r="Z34" i="2"/>
  <c r="AA34" i="2"/>
  <c r="B34" i="2"/>
  <c r="AA17" i="13"/>
  <c r="H17" i="13"/>
  <c r="I17" i="13"/>
  <c r="J17" i="13"/>
  <c r="K17" i="13"/>
  <c r="L17" i="13"/>
  <c r="M17" i="13"/>
  <c r="N17" i="13"/>
  <c r="O17" i="13"/>
  <c r="P17" i="13"/>
  <c r="Q17" i="13"/>
  <c r="R17" i="13"/>
  <c r="S17" i="13"/>
  <c r="T17" i="13"/>
  <c r="U17" i="13"/>
  <c r="V17" i="13"/>
  <c r="W17" i="13"/>
  <c r="X17" i="13"/>
  <c r="Y17" i="13"/>
  <c r="Z17" i="13"/>
  <c r="H18" i="13"/>
  <c r="I18" i="13"/>
  <c r="J18" i="13"/>
  <c r="K18" i="13"/>
  <c r="L18" i="13"/>
  <c r="M18" i="13"/>
  <c r="N18" i="13"/>
  <c r="O18" i="13"/>
  <c r="P18" i="13"/>
  <c r="Q18" i="13"/>
  <c r="R18" i="13"/>
  <c r="S18" i="13"/>
  <c r="T18" i="13"/>
  <c r="U18" i="13"/>
  <c r="V18" i="13"/>
  <c r="W18" i="13"/>
  <c r="X18" i="13"/>
  <c r="Y18" i="13"/>
  <c r="Z18" i="13"/>
  <c r="AA18" i="13"/>
  <c r="H19" i="13"/>
  <c r="I19" i="13"/>
  <c r="J19" i="13"/>
  <c r="K19" i="13"/>
  <c r="L19" i="13"/>
  <c r="M19" i="13"/>
  <c r="N19" i="13"/>
  <c r="O19" i="13"/>
  <c r="P19" i="13"/>
  <c r="Q19" i="13"/>
  <c r="R19" i="13"/>
  <c r="S19" i="13"/>
  <c r="T19" i="13"/>
  <c r="U19" i="13"/>
  <c r="V19" i="13"/>
  <c r="W19" i="13"/>
  <c r="X19" i="13"/>
  <c r="Y19" i="13"/>
  <c r="Z19" i="13"/>
  <c r="AA19" i="13"/>
  <c r="H20" i="13"/>
  <c r="I20" i="13"/>
  <c r="J20" i="13"/>
  <c r="K20" i="13"/>
  <c r="L20" i="13"/>
  <c r="M20" i="13"/>
  <c r="N20" i="13"/>
  <c r="O20" i="13"/>
  <c r="P20" i="13"/>
  <c r="Q20" i="13"/>
  <c r="R20" i="13"/>
  <c r="S20" i="13"/>
  <c r="T20" i="13"/>
  <c r="U20" i="13"/>
  <c r="V20" i="13"/>
  <c r="W20" i="13"/>
  <c r="X20" i="13"/>
  <c r="Y20" i="13"/>
  <c r="Z20" i="13"/>
  <c r="AA20" i="13"/>
  <c r="C3" i="9"/>
  <c r="C5" i="9"/>
  <c r="D3" i="9"/>
  <c r="D5" i="9"/>
  <c r="E3" i="9"/>
  <c r="E5" i="9"/>
  <c r="F3" i="9"/>
  <c r="F5" i="9"/>
  <c r="G3" i="9"/>
  <c r="G5" i="9"/>
  <c r="H3" i="9"/>
  <c r="H5" i="9"/>
  <c r="I3" i="9"/>
  <c r="I5" i="9"/>
  <c r="J3" i="9"/>
  <c r="J5" i="9"/>
  <c r="K3" i="9"/>
  <c r="K5" i="9"/>
  <c r="L3" i="9"/>
  <c r="L5" i="9"/>
  <c r="M3" i="9"/>
  <c r="M5" i="9"/>
  <c r="N3" i="9"/>
  <c r="N5" i="9"/>
  <c r="O3" i="9"/>
  <c r="O5" i="9"/>
  <c r="P3" i="9"/>
  <c r="P5" i="9"/>
  <c r="Q3" i="9"/>
  <c r="Q5" i="9"/>
  <c r="R3" i="9"/>
  <c r="R5" i="9"/>
  <c r="S3" i="9"/>
  <c r="S5" i="9"/>
  <c r="T3" i="9"/>
  <c r="T5" i="9"/>
  <c r="U3" i="9"/>
  <c r="U5" i="9"/>
  <c r="V3" i="9"/>
  <c r="V5" i="9"/>
  <c r="W3" i="9"/>
  <c r="W5" i="9"/>
  <c r="X3" i="9"/>
  <c r="X5" i="9"/>
  <c r="Y3" i="9"/>
  <c r="Y5" i="9"/>
  <c r="Z3" i="9"/>
  <c r="Z5" i="9"/>
  <c r="AA3" i="9"/>
  <c r="AA5" i="9"/>
  <c r="B3" i="9"/>
  <c r="B5" i="9"/>
  <c r="C4" i="9"/>
  <c r="D4" i="9"/>
  <c r="E4" i="9"/>
  <c r="F4" i="9"/>
  <c r="G4" i="9"/>
  <c r="H4" i="9"/>
  <c r="I4" i="9"/>
  <c r="J4" i="9"/>
  <c r="K4" i="9"/>
  <c r="L4" i="9"/>
  <c r="M4" i="9"/>
  <c r="N4" i="9"/>
  <c r="O4" i="9"/>
  <c r="P4" i="9"/>
  <c r="Q4" i="9"/>
  <c r="R4" i="9"/>
  <c r="S4" i="9"/>
  <c r="T4" i="9"/>
  <c r="U4" i="9"/>
  <c r="V4" i="9"/>
  <c r="W4" i="9"/>
  <c r="X4" i="9"/>
  <c r="Y4" i="9"/>
  <c r="Z4" i="9"/>
  <c r="AA4" i="9"/>
  <c r="B4" i="9"/>
  <c r="Y3" i="10"/>
  <c r="Y2" i="10"/>
  <c r="C2" i="10"/>
  <c r="D2" i="10"/>
  <c r="E2" i="10"/>
  <c r="F2" i="10"/>
  <c r="G2" i="10"/>
  <c r="H2" i="10"/>
  <c r="I2" i="10"/>
  <c r="J2" i="10"/>
  <c r="K2" i="10"/>
  <c r="L2" i="10"/>
  <c r="M2" i="10"/>
  <c r="N2" i="10"/>
  <c r="O2" i="10"/>
  <c r="P2" i="10"/>
  <c r="Q2" i="10"/>
  <c r="R2" i="10"/>
  <c r="S2" i="10"/>
  <c r="T2" i="10"/>
  <c r="U2" i="10"/>
  <c r="V2" i="10"/>
  <c r="W2" i="10"/>
  <c r="X2" i="10"/>
  <c r="B2" i="10"/>
  <c r="C7" i="10"/>
  <c r="D7" i="10"/>
  <c r="E7" i="10"/>
  <c r="F7" i="10"/>
  <c r="G7" i="10"/>
  <c r="H7" i="10"/>
  <c r="I7" i="10"/>
  <c r="J7" i="10"/>
  <c r="K7" i="10"/>
  <c r="L7" i="10"/>
  <c r="M7" i="10"/>
  <c r="N7" i="10"/>
  <c r="O7" i="10"/>
  <c r="P7" i="10"/>
  <c r="Q7" i="10"/>
  <c r="R7" i="10"/>
  <c r="S7" i="10"/>
  <c r="T7" i="10"/>
  <c r="C6" i="10"/>
  <c r="O6" i="12"/>
  <c r="P6" i="12"/>
  <c r="Q6" i="12"/>
  <c r="R6" i="12"/>
  <c r="B4" i="11"/>
  <c r="B5" i="11"/>
  <c r="B3" i="11"/>
  <c r="B2" i="11"/>
  <c r="AE26" i="5"/>
  <c r="AF26" i="5"/>
  <c r="AH8" i="10"/>
  <c r="AG8" i="10"/>
  <c r="AI8" i="10"/>
  <c r="AE2" i="17"/>
  <c r="K5" i="17"/>
  <c r="K4" i="17"/>
  <c r="AK3" i="12"/>
  <c r="AL3" i="12"/>
  <c r="AK9" i="12"/>
  <c r="AN2" i="12"/>
  <c r="AO2" i="12"/>
  <c r="AP2" i="12"/>
  <c r="AJ3" i="1"/>
  <c r="AK3" i="1"/>
  <c r="AL3" i="1"/>
  <c r="AM3" i="1"/>
  <c r="AN3" i="1"/>
  <c r="AM6" i="1"/>
  <c r="AN6" i="1"/>
  <c r="AO6" i="1"/>
  <c r="AP6" i="1"/>
  <c r="AK2" i="1"/>
  <c r="AL2" i="1"/>
  <c r="AM2" i="1"/>
  <c r="AN2" i="1"/>
  <c r="AO2" i="1"/>
  <c r="AP2" i="1"/>
  <c r="AL4" i="1"/>
  <c r="AM4" i="1"/>
  <c r="AN4" i="1"/>
  <c r="AO4" i="1"/>
  <c r="AP4" i="1"/>
  <c r="C8" i="10"/>
  <c r="T8" i="10"/>
  <c r="T43" i="10"/>
  <c r="L8" i="10"/>
  <c r="Y8" i="10"/>
  <c r="Y41" i="10"/>
  <c r="Q8" i="10"/>
  <c r="Q42" i="10"/>
  <c r="P8" i="10"/>
  <c r="K8" i="10"/>
  <c r="F8" i="10"/>
  <c r="V8" i="10"/>
  <c r="N8" i="10"/>
  <c r="E8" i="10"/>
  <c r="U8" i="10"/>
  <c r="M8" i="10"/>
  <c r="Z8" i="10"/>
  <c r="D8" i="10"/>
  <c r="S8" i="10"/>
  <c r="J8" i="10"/>
  <c r="C43" i="10"/>
  <c r="I8" i="10"/>
  <c r="C41" i="10"/>
  <c r="H8" i="10"/>
  <c r="W8" i="10"/>
  <c r="O8" i="10"/>
  <c r="G8" i="10"/>
  <c r="C44" i="10"/>
  <c r="R8" i="10"/>
  <c r="X8" i="10"/>
  <c r="Z3" i="10"/>
  <c r="Z2" i="10"/>
  <c r="B8" i="10"/>
  <c r="Q23" i="2"/>
  <c r="B48" i="2"/>
  <c r="B49" i="2"/>
  <c r="B50" i="2"/>
  <c r="B51" i="2"/>
  <c r="B47" i="2"/>
  <c r="B46" i="2"/>
  <c r="B52" i="2"/>
  <c r="B53" i="2"/>
  <c r="P23" i="2"/>
  <c r="F7" i="2"/>
  <c r="G7" i="2"/>
  <c r="H7" i="2"/>
  <c r="H23" i="2"/>
  <c r="J23" i="2"/>
  <c r="T23" i="2"/>
  <c r="O23" i="2"/>
  <c r="V23" i="2"/>
  <c r="U23" i="2"/>
  <c r="L23" i="2"/>
  <c r="AG26" i="5"/>
  <c r="AJ8" i="10"/>
  <c r="AB5" i="17"/>
  <c r="AB4" i="17"/>
  <c r="AF2" i="17"/>
  <c r="L5" i="17"/>
  <c r="L4" i="17"/>
  <c r="L48" i="10"/>
  <c r="L52" i="10"/>
  <c r="AC3" i="17"/>
  <c r="AM3" i="12"/>
  <c r="AN3" i="12"/>
  <c r="AL8" i="12"/>
  <c r="AL9" i="12"/>
  <c r="AM9" i="12"/>
  <c r="AN9" i="12"/>
  <c r="AO9" i="12"/>
  <c r="AP9" i="12"/>
  <c r="AO3" i="1"/>
  <c r="AP3" i="1"/>
  <c r="Y43" i="10"/>
  <c r="Z44" i="10"/>
  <c r="Z47" i="10"/>
  <c r="Z48" i="10"/>
  <c r="Z52" i="10"/>
  <c r="K42" i="10"/>
  <c r="K48" i="10"/>
  <c r="K52" i="10"/>
  <c r="K47" i="10"/>
  <c r="K49" i="10"/>
  <c r="B48" i="10"/>
  <c r="B52" i="10"/>
  <c r="B47" i="10"/>
  <c r="B49" i="10"/>
  <c r="B43" i="10"/>
  <c r="G43" i="10"/>
  <c r="G48" i="10"/>
  <c r="G52" i="10"/>
  <c r="G47" i="10"/>
  <c r="J41" i="10"/>
  <c r="J47" i="10"/>
  <c r="J48" i="10"/>
  <c r="J52" i="10"/>
  <c r="Q41" i="10"/>
  <c r="T41" i="10"/>
  <c r="F41" i="10"/>
  <c r="F48" i="10"/>
  <c r="F47" i="10"/>
  <c r="P43" i="10"/>
  <c r="P48" i="10"/>
  <c r="P52" i="10"/>
  <c r="P47" i="10"/>
  <c r="O42" i="10"/>
  <c r="O48" i="10"/>
  <c r="O52" i="10"/>
  <c r="O47" i="10"/>
  <c r="M44" i="10"/>
  <c r="M48" i="10"/>
  <c r="M52" i="10"/>
  <c r="M47" i="10"/>
  <c r="Q43" i="10"/>
  <c r="Q48" i="10"/>
  <c r="Q52" i="10"/>
  <c r="Q47" i="10"/>
  <c r="Q49" i="10"/>
  <c r="P41" i="10"/>
  <c r="W41" i="10"/>
  <c r="W48" i="10"/>
  <c r="W52" i="10"/>
  <c r="W47" i="10"/>
  <c r="S48" i="10"/>
  <c r="S52" i="10"/>
  <c r="S47" i="10"/>
  <c r="S49" i="10"/>
  <c r="U42" i="10"/>
  <c r="U48" i="10"/>
  <c r="U52" i="10"/>
  <c r="U47" i="10"/>
  <c r="Y42" i="10"/>
  <c r="Y48" i="10"/>
  <c r="Y52" i="10"/>
  <c r="Y47" i="10"/>
  <c r="X44" i="10"/>
  <c r="X48" i="10"/>
  <c r="X52" i="10"/>
  <c r="X47" i="10"/>
  <c r="H43" i="10"/>
  <c r="H48" i="10"/>
  <c r="H52" i="10"/>
  <c r="H47" i="10"/>
  <c r="D41" i="10"/>
  <c r="D48" i="10"/>
  <c r="D52" i="10"/>
  <c r="D47" i="10"/>
  <c r="E43" i="10"/>
  <c r="E48" i="10"/>
  <c r="E52" i="10"/>
  <c r="E47" i="10"/>
  <c r="E49" i="10"/>
  <c r="L41" i="10"/>
  <c r="L47" i="10"/>
  <c r="R47" i="10"/>
  <c r="R48" i="10"/>
  <c r="R52" i="10"/>
  <c r="G44" i="10"/>
  <c r="N41" i="10"/>
  <c r="N48" i="10"/>
  <c r="N47" i="10"/>
  <c r="T44" i="10"/>
  <c r="T48" i="10"/>
  <c r="T52" i="10"/>
  <c r="T47" i="10"/>
  <c r="I43" i="10"/>
  <c r="I48" i="10"/>
  <c r="I52" i="10"/>
  <c r="I47" i="10"/>
  <c r="V41" i="10"/>
  <c r="V48" i="10"/>
  <c r="V52" i="10"/>
  <c r="V47" i="10"/>
  <c r="C42" i="10"/>
  <c r="C48" i="10"/>
  <c r="C52" i="10"/>
  <c r="C47" i="10"/>
  <c r="P42" i="10"/>
  <c r="L42" i="10"/>
  <c r="K44" i="10"/>
  <c r="Q44" i="10"/>
  <c r="T42" i="10"/>
  <c r="Y44" i="10"/>
  <c r="G41" i="10"/>
  <c r="K43" i="10"/>
  <c r="L43" i="10"/>
  <c r="L44" i="10"/>
  <c r="E42" i="10"/>
  <c r="P44" i="10"/>
  <c r="M42" i="10"/>
  <c r="K41" i="10"/>
  <c r="M41" i="10"/>
  <c r="O41" i="10"/>
  <c r="U44" i="10"/>
  <c r="Z41" i="10"/>
  <c r="Z42" i="10"/>
  <c r="V44" i="10"/>
  <c r="O44" i="10"/>
  <c r="N42" i="10"/>
  <c r="N44" i="10"/>
  <c r="M43" i="10"/>
  <c r="E44" i="10"/>
  <c r="V42" i="10"/>
  <c r="G42" i="10"/>
  <c r="Z43" i="10"/>
  <c r="E41" i="10"/>
  <c r="F44" i="10"/>
  <c r="U43" i="10"/>
  <c r="N43" i="10"/>
  <c r="H44" i="10"/>
  <c r="F43" i="10"/>
  <c r="X42" i="10"/>
  <c r="U41" i="10"/>
  <c r="I41" i="10"/>
  <c r="V43" i="10"/>
  <c r="F42" i="10"/>
  <c r="O43" i="10"/>
  <c r="W42" i="10"/>
  <c r="X43" i="10"/>
  <c r="I42" i="10"/>
  <c r="J42" i="10"/>
  <c r="J43" i="10"/>
  <c r="J44" i="10"/>
  <c r="H41" i="10"/>
  <c r="H42" i="10"/>
  <c r="B42" i="10"/>
  <c r="B41" i="10"/>
  <c r="R42" i="10"/>
  <c r="R43" i="10"/>
  <c r="R44" i="10"/>
  <c r="W44" i="10"/>
  <c r="X41" i="10"/>
  <c r="I44" i="10"/>
  <c r="AA3" i="10"/>
  <c r="AA2" i="10"/>
  <c r="W43" i="10"/>
  <c r="R41" i="10"/>
  <c r="AA8" i="10"/>
  <c r="D44" i="10"/>
  <c r="D42" i="10"/>
  <c r="D43" i="10"/>
  <c r="S42" i="10"/>
  <c r="S43" i="10"/>
  <c r="S44" i="10"/>
  <c r="S41" i="10"/>
  <c r="B44" i="10"/>
  <c r="F23" i="2"/>
  <c r="G23" i="2"/>
  <c r="C2" i="6"/>
  <c r="D2" i="6"/>
  <c r="E2" i="6"/>
  <c r="F2" i="6"/>
  <c r="G2" i="6"/>
  <c r="H2" i="6"/>
  <c r="I2" i="6"/>
  <c r="J2" i="6"/>
  <c r="K2" i="6"/>
  <c r="L2" i="6"/>
  <c r="M2" i="6"/>
  <c r="N2" i="6"/>
  <c r="O2" i="6"/>
  <c r="P2" i="6"/>
  <c r="Q2" i="6"/>
  <c r="R2" i="6"/>
  <c r="S2" i="6"/>
  <c r="T2" i="6"/>
  <c r="U2" i="6"/>
  <c r="V2" i="6"/>
  <c r="W2" i="6"/>
  <c r="X2" i="6"/>
  <c r="Y2" i="6"/>
  <c r="Z2" i="6"/>
  <c r="B2" i="6"/>
  <c r="D22" i="2"/>
  <c r="D19" i="2"/>
  <c r="I19" i="2"/>
  <c r="N19" i="2"/>
  <c r="S19" i="2"/>
  <c r="X19" i="2"/>
  <c r="Y19" i="2"/>
  <c r="Z19" i="2"/>
  <c r="D20" i="2"/>
  <c r="I20" i="2"/>
  <c r="N20" i="2"/>
  <c r="S20" i="2"/>
  <c r="X20" i="2"/>
  <c r="Y20" i="2"/>
  <c r="Z20" i="2"/>
  <c r="D21" i="2"/>
  <c r="I21" i="2"/>
  <c r="N21" i="2"/>
  <c r="S21" i="2"/>
  <c r="X21" i="2"/>
  <c r="Y21" i="2"/>
  <c r="Z21" i="2"/>
  <c r="I22" i="2"/>
  <c r="N22" i="2"/>
  <c r="S22" i="2"/>
  <c r="X22" i="2"/>
  <c r="Y22" i="2"/>
  <c r="Z22" i="2"/>
  <c r="B22" i="2"/>
  <c r="B21" i="2"/>
  <c r="B20" i="2"/>
  <c r="B19" i="2"/>
  <c r="B24" i="2"/>
  <c r="L49" i="10"/>
  <c r="AH26" i="5"/>
  <c r="AI26" i="5"/>
  <c r="AJ26" i="5"/>
  <c r="AK26" i="5"/>
  <c r="AL26" i="5"/>
  <c r="AM26" i="5"/>
  <c r="AN26" i="5"/>
  <c r="AO26" i="5"/>
  <c r="AP26" i="5"/>
  <c r="AK8" i="10"/>
  <c r="AL8" i="10"/>
  <c r="AB48" i="10"/>
  <c r="AB47" i="10"/>
  <c r="AD3" i="17"/>
  <c r="AG2" i="17"/>
  <c r="AH2" i="17"/>
  <c r="AI2" i="17"/>
  <c r="AJ2" i="17"/>
  <c r="AK2" i="17"/>
  <c r="AL2" i="17"/>
  <c r="AM2" i="17"/>
  <c r="AN2" i="17"/>
  <c r="AO2" i="17"/>
  <c r="AP2" i="17"/>
  <c r="AC4" i="17"/>
  <c r="AC5" i="17"/>
  <c r="C49" i="10"/>
  <c r="D49" i="10"/>
  <c r="M49" i="10"/>
  <c r="H49" i="10"/>
  <c r="AO3" i="12"/>
  <c r="AP3" i="12"/>
  <c r="AM8" i="12"/>
  <c r="O49" i="10"/>
  <c r="N49" i="10"/>
  <c r="N52" i="10"/>
  <c r="I49" i="10"/>
  <c r="X49" i="10"/>
  <c r="P49" i="10"/>
  <c r="Z49" i="10"/>
  <c r="F49" i="10"/>
  <c r="F52" i="10"/>
  <c r="J49" i="10"/>
  <c r="T49" i="10"/>
  <c r="R49" i="10"/>
  <c r="Y49" i="10"/>
  <c r="W49" i="10"/>
  <c r="G49" i="10"/>
  <c r="AA42" i="10"/>
  <c r="AA48" i="10"/>
  <c r="AA52" i="10"/>
  <c r="AA47" i="10"/>
  <c r="V49" i="10"/>
  <c r="U49" i="10"/>
  <c r="AA41" i="10"/>
  <c r="AA43" i="10"/>
  <c r="AA44" i="10"/>
  <c r="AA2" i="6"/>
  <c r="D24" i="2"/>
  <c r="Z24" i="2"/>
  <c r="Y24" i="2"/>
  <c r="X24" i="2"/>
  <c r="N24" i="2"/>
  <c r="S24" i="2"/>
  <c r="AA19" i="2"/>
  <c r="AA23" i="2"/>
  <c r="I24" i="2"/>
  <c r="AA22" i="2"/>
  <c r="AA21" i="2"/>
  <c r="AA20" i="2"/>
  <c r="AA2" i="3"/>
  <c r="T3" i="2"/>
  <c r="T19" i="2"/>
  <c r="U3" i="2"/>
  <c r="U19" i="2"/>
  <c r="V3" i="2"/>
  <c r="T4" i="2"/>
  <c r="T20" i="2"/>
  <c r="T6" i="2"/>
  <c r="O6" i="2"/>
  <c r="O22" i="2"/>
  <c r="P6" i="2"/>
  <c r="P22" i="2"/>
  <c r="O3" i="2"/>
  <c r="O4" i="2"/>
  <c r="O20" i="2"/>
  <c r="P4" i="2"/>
  <c r="P20" i="2"/>
  <c r="J4" i="2"/>
  <c r="J20" i="2"/>
  <c r="K4" i="2"/>
  <c r="K20" i="2"/>
  <c r="J5" i="2"/>
  <c r="J21" i="2"/>
  <c r="J6" i="2"/>
  <c r="J22" i="2"/>
  <c r="J3" i="2"/>
  <c r="J19" i="2"/>
  <c r="E4" i="2"/>
  <c r="E20" i="2"/>
  <c r="E5" i="2"/>
  <c r="E21" i="2"/>
  <c r="E6" i="2"/>
  <c r="E22" i="2"/>
  <c r="E3" i="2"/>
  <c r="E19" i="2"/>
  <c r="C6" i="2"/>
  <c r="C22" i="2"/>
  <c r="C3" i="2"/>
  <c r="C19" i="2"/>
  <c r="C4" i="2"/>
  <c r="C20" i="2"/>
  <c r="T5" i="2"/>
  <c r="T21" i="2"/>
  <c r="O5" i="2"/>
  <c r="O21" i="2"/>
  <c r="C5" i="2"/>
  <c r="C21" i="2"/>
  <c r="AB23" i="2"/>
  <c r="AB2" i="6"/>
  <c r="AC2" i="6"/>
  <c r="AD2" i="6"/>
  <c r="AB42" i="10"/>
  <c r="AC42" i="10"/>
  <c r="AB43" i="10"/>
  <c r="AB49" i="10"/>
  <c r="AB44" i="10"/>
  <c r="AB41" i="10"/>
  <c r="AM8" i="10"/>
  <c r="AD5" i="17"/>
  <c r="AD4" i="17"/>
  <c r="AE3" i="17"/>
  <c r="AC47" i="10"/>
  <c r="AC48" i="10"/>
  <c r="AN8" i="12"/>
  <c r="AA49" i="10"/>
  <c r="K5" i="2"/>
  <c r="L4" i="2"/>
  <c r="M4" i="2"/>
  <c r="M20" i="2"/>
  <c r="Q4" i="2"/>
  <c r="Q20" i="2"/>
  <c r="U4" i="2"/>
  <c r="P3" i="2"/>
  <c r="O19" i="2"/>
  <c r="O24" i="2"/>
  <c r="W3" i="2"/>
  <c r="W19" i="2"/>
  <c r="V19" i="2"/>
  <c r="P5" i="2"/>
  <c r="K3" i="2"/>
  <c r="AA24" i="2"/>
  <c r="F3" i="2"/>
  <c r="U5" i="2"/>
  <c r="U21" i="2"/>
  <c r="K6" i="2"/>
  <c r="U6" i="2"/>
  <c r="U22" i="2"/>
  <c r="T22" i="2"/>
  <c r="T24" i="2"/>
  <c r="J24" i="2"/>
  <c r="C24" i="2"/>
  <c r="E24" i="2"/>
  <c r="F5" i="2"/>
  <c r="G5" i="2"/>
  <c r="Q6" i="2"/>
  <c r="F6" i="2"/>
  <c r="V6" i="2"/>
  <c r="F4" i="2"/>
  <c r="AC23" i="2"/>
  <c r="AD23" i="2"/>
  <c r="AE23" i="2"/>
  <c r="AE2" i="6"/>
  <c r="AC41" i="10"/>
  <c r="AC44" i="10"/>
  <c r="AD44" i="10"/>
  <c r="AE44" i="10"/>
  <c r="AC43" i="10"/>
  <c r="AD42" i="10"/>
  <c r="AE42" i="10"/>
  <c r="AN8" i="10"/>
  <c r="AE5" i="17"/>
  <c r="AE4" i="17"/>
  <c r="AF3" i="17"/>
  <c r="AC49" i="10"/>
  <c r="AD48" i="10"/>
  <c r="AD47" i="10"/>
  <c r="AO8" i="12"/>
  <c r="AP8" i="12"/>
  <c r="K21" i="2"/>
  <c r="L5" i="2"/>
  <c r="L20" i="2"/>
  <c r="U20" i="2"/>
  <c r="U24" i="2"/>
  <c r="V4" i="2"/>
  <c r="R4" i="2"/>
  <c r="R20" i="2"/>
  <c r="K19" i="2"/>
  <c r="L3" i="2"/>
  <c r="Q5" i="2"/>
  <c r="P21" i="2"/>
  <c r="F19" i="2"/>
  <c r="G3" i="2"/>
  <c r="Q3" i="2"/>
  <c r="P19" i="2"/>
  <c r="V5" i="2"/>
  <c r="V21" i="2"/>
  <c r="F21" i="2"/>
  <c r="K22" i="2"/>
  <c r="L6" i="2"/>
  <c r="R6" i="2"/>
  <c r="R22" i="2"/>
  <c r="Q22" i="2"/>
  <c r="H5" i="2"/>
  <c r="H21" i="2"/>
  <c r="G21" i="2"/>
  <c r="G4" i="2"/>
  <c r="F20" i="2"/>
  <c r="W6" i="2"/>
  <c r="W22" i="2"/>
  <c r="V22" i="2"/>
  <c r="G6" i="2"/>
  <c r="F22" i="2"/>
  <c r="AD49" i="10"/>
  <c r="AF23" i="2"/>
  <c r="AG23" i="2"/>
  <c r="AH23" i="2"/>
  <c r="AI23" i="2"/>
  <c r="AJ23" i="2"/>
  <c r="AK23" i="2"/>
  <c r="AL23" i="2"/>
  <c r="AM23" i="2"/>
  <c r="AN23" i="2"/>
  <c r="AO23" i="2"/>
  <c r="AP23" i="2"/>
  <c r="AF2" i="6"/>
  <c r="AD41" i="10"/>
  <c r="AF42" i="10"/>
  <c r="AF44" i="10"/>
  <c r="AD43" i="10"/>
  <c r="AE43" i="10"/>
  <c r="AF4" i="17"/>
  <c r="AF5" i="17"/>
  <c r="AG3" i="17"/>
  <c r="AE47" i="10"/>
  <c r="AE48" i="10"/>
  <c r="L21" i="2"/>
  <c r="M5" i="2"/>
  <c r="M21" i="2"/>
  <c r="Q21" i="2"/>
  <c r="R5" i="2"/>
  <c r="R21" i="2"/>
  <c r="W5" i="2"/>
  <c r="W21" i="2"/>
  <c r="AB21" i="2"/>
  <c r="V20" i="2"/>
  <c r="V24" i="2"/>
  <c r="W4" i="2"/>
  <c r="W20" i="2"/>
  <c r="K24" i="2"/>
  <c r="M6" i="2"/>
  <c r="M22" i="2"/>
  <c r="L22" i="2"/>
  <c r="P24" i="2"/>
  <c r="R3" i="2"/>
  <c r="R19" i="2"/>
  <c r="Q19" i="2"/>
  <c r="G19" i="2"/>
  <c r="H3" i="2"/>
  <c r="H19" i="2"/>
  <c r="L19" i="2"/>
  <c r="M3" i="2"/>
  <c r="M19" i="2"/>
  <c r="F24" i="2"/>
  <c r="H4" i="2"/>
  <c r="H20" i="2"/>
  <c r="G20" i="2"/>
  <c r="H6" i="2"/>
  <c r="H22" i="2"/>
  <c r="G22" i="2"/>
  <c r="Q24" i="2"/>
  <c r="AB19" i="2"/>
  <c r="AC19" i="2"/>
  <c r="AB20" i="2"/>
  <c r="AC21" i="2"/>
  <c r="AB22" i="2"/>
  <c r="AC22" i="2"/>
  <c r="AD22" i="2"/>
  <c r="AG2" i="6"/>
  <c r="AH2" i="6"/>
  <c r="AG42" i="10"/>
  <c r="AH42" i="10"/>
  <c r="AG44" i="10"/>
  <c r="AF43" i="10"/>
  <c r="AG43" i="10"/>
  <c r="AE41" i="10"/>
  <c r="AE49" i="10"/>
  <c r="AO8" i="10"/>
  <c r="AP8" i="10"/>
  <c r="AG5" i="17"/>
  <c r="AG4" i="17"/>
  <c r="AH3" i="17"/>
  <c r="AF47" i="10"/>
  <c r="AF48" i="10"/>
  <c r="W24" i="2"/>
  <c r="R24" i="2"/>
  <c r="L24" i="2"/>
  <c r="M24" i="2"/>
  <c r="G24" i="2"/>
  <c r="H24" i="2"/>
  <c r="AB24" i="2"/>
  <c r="AE22" i="2"/>
  <c r="AF22" i="2"/>
  <c r="AD21" i="2"/>
  <c r="AC20" i="2"/>
  <c r="AD20" i="2"/>
  <c r="AE20" i="2"/>
  <c r="AD19" i="2"/>
  <c r="AI2" i="6"/>
  <c r="AJ2" i="6"/>
  <c r="AK2" i="6"/>
  <c r="AL2" i="6"/>
  <c r="AM2" i="6"/>
  <c r="AN2" i="6"/>
  <c r="AO2" i="6"/>
  <c r="AP2" i="6"/>
  <c r="AH44" i="10"/>
  <c r="AI44" i="10"/>
  <c r="AJ44" i="10"/>
  <c r="AK44" i="10"/>
  <c r="AL44" i="10"/>
  <c r="AM44" i="10"/>
  <c r="AN44" i="10"/>
  <c r="AO44" i="10"/>
  <c r="AP44" i="10"/>
  <c r="AH43" i="10"/>
  <c r="AI43" i="10"/>
  <c r="AJ43" i="10"/>
  <c r="AK43" i="10"/>
  <c r="AL43" i="10"/>
  <c r="AM43" i="10"/>
  <c r="AN43" i="10"/>
  <c r="AO43" i="10"/>
  <c r="AP43" i="10"/>
  <c r="AF41" i="10"/>
  <c r="AI42" i="10"/>
  <c r="AJ42" i="10"/>
  <c r="AK42" i="10"/>
  <c r="AL42" i="10"/>
  <c r="AM42" i="10"/>
  <c r="AN42" i="10"/>
  <c r="AO42" i="10"/>
  <c r="AP42" i="10"/>
  <c r="AF49" i="10"/>
  <c r="AI3" i="17"/>
  <c r="AH5" i="17"/>
  <c r="AH4" i="17"/>
  <c r="AG48" i="10"/>
  <c r="AG47" i="10"/>
  <c r="AC24" i="2"/>
  <c r="AD24" i="2"/>
  <c r="AG22" i="2"/>
  <c r="AH22" i="2"/>
  <c r="AI22" i="2"/>
  <c r="AJ22" i="2"/>
  <c r="AK22" i="2"/>
  <c r="AL22" i="2"/>
  <c r="AF20" i="2"/>
  <c r="AE21" i="2"/>
  <c r="AE19" i="2"/>
  <c r="AG41" i="10"/>
  <c r="AG49" i="10"/>
  <c r="AH47" i="10"/>
  <c r="AH48" i="10"/>
  <c r="AJ3" i="17"/>
  <c r="AI4" i="17"/>
  <c r="AI5" i="17"/>
  <c r="AG20" i="2"/>
  <c r="AH20" i="2"/>
  <c r="AI20" i="2"/>
  <c r="AJ20" i="2"/>
  <c r="AK20" i="2"/>
  <c r="AL20" i="2"/>
  <c r="AM20" i="2"/>
  <c r="AN20" i="2"/>
  <c r="AO20" i="2"/>
  <c r="AP20" i="2"/>
  <c r="AF19" i="2"/>
  <c r="AM22" i="2"/>
  <c r="AN22" i="2"/>
  <c r="AO22" i="2"/>
  <c r="AP22" i="2"/>
  <c r="AF21" i="2"/>
  <c r="AG21" i="2"/>
  <c r="AH21" i="2"/>
  <c r="AI21" i="2"/>
  <c r="AJ21" i="2"/>
  <c r="AK21" i="2"/>
  <c r="AL21" i="2"/>
  <c r="AM21" i="2"/>
  <c r="AN21" i="2"/>
  <c r="AO21" i="2"/>
  <c r="AP21" i="2"/>
  <c r="AE24" i="2"/>
  <c r="AH41" i="10"/>
  <c r="AI41" i="10"/>
  <c r="AJ41" i="10"/>
  <c r="AK41" i="10"/>
  <c r="AL41" i="10"/>
  <c r="AM41" i="10"/>
  <c r="AN41" i="10"/>
  <c r="AO41" i="10"/>
  <c r="AP41" i="10"/>
  <c r="AI48" i="10"/>
  <c r="AI47" i="10"/>
  <c r="AK3" i="17"/>
  <c r="AJ5" i="17"/>
  <c r="AJ4" i="17"/>
  <c r="AH49" i="10"/>
  <c r="AF24" i="2"/>
  <c r="AG19" i="2"/>
  <c r="AI49" i="10"/>
  <c r="AJ48" i="10"/>
  <c r="AJ47" i="10"/>
  <c r="AL3" i="17"/>
  <c r="AK4" i="17"/>
  <c r="AK5" i="17"/>
  <c r="AG24" i="2"/>
  <c r="AH19" i="2"/>
  <c r="AJ49" i="10"/>
  <c r="AK47" i="10"/>
  <c r="AK48" i="10"/>
  <c r="AM3" i="17"/>
  <c r="AL4" i="17"/>
  <c r="AL5" i="17"/>
  <c r="AH24" i="2"/>
  <c r="AI19" i="2"/>
  <c r="AL48" i="10"/>
  <c r="AL47" i="10"/>
  <c r="AN3" i="17"/>
  <c r="AM5" i="17"/>
  <c r="AM4" i="17"/>
  <c r="AK49" i="10"/>
  <c r="AJ19" i="2"/>
  <c r="AI24" i="2"/>
  <c r="AL49" i="10"/>
  <c r="AO3" i="17"/>
  <c r="AN4" i="17"/>
  <c r="AN5" i="17"/>
  <c r="AM47" i="10"/>
  <c r="AM48" i="10"/>
  <c r="AK19" i="2"/>
  <c r="AJ24" i="2"/>
  <c r="AM49" i="10"/>
  <c r="AN47" i="10"/>
  <c r="AN48" i="10"/>
  <c r="AP3" i="17"/>
  <c r="AO4" i="17"/>
  <c r="AO5" i="17"/>
  <c r="AL19" i="2"/>
  <c r="AK24" i="2"/>
  <c r="AO48" i="10"/>
  <c r="AO47" i="10"/>
  <c r="AP4" i="17"/>
  <c r="AP5" i="17"/>
  <c r="AN49" i="10"/>
  <c r="AM19" i="2"/>
  <c r="AL24" i="2"/>
  <c r="AO49" i="10"/>
  <c r="AP47" i="10"/>
  <c r="AP48" i="10"/>
  <c r="AN19" i="2"/>
  <c r="AM24" i="2"/>
  <c r="AP49" i="10"/>
  <c r="AO19" i="2"/>
  <c r="AN24" i="2"/>
  <c r="AP19" i="2"/>
  <c r="AP24" i="2"/>
  <c r="AO24" i="2"/>
</calcChain>
</file>

<file path=xl/sharedStrings.xml><?xml version="1.0" encoding="utf-8"?>
<sst xmlns="http://schemas.openxmlformats.org/spreadsheetml/2006/main" count="324" uniqueCount="209">
  <si>
    <t>Agriculture</t>
  </si>
  <si>
    <t>Industrial</t>
  </si>
  <si>
    <t>Domestic</t>
  </si>
  <si>
    <t>Commercial</t>
  </si>
  <si>
    <t>Annual Report on the Working of State Electricity Boards and Electricity Department, 1999, 2001, 2011, 2014, Annex 4.23</t>
  </si>
  <si>
    <t>the values in different version of report might be slightly different. I just rounded them. Yellow cells are intra and extrapolation for missing data.</t>
  </si>
  <si>
    <t>Share in total consumption</t>
  </si>
  <si>
    <t>Annual Report on the Working of State Electricity Boards &amp; Electricity Departments, 2014, page 48</t>
  </si>
  <si>
    <t>Demand (GWh)</t>
  </si>
  <si>
    <t>Annual Report on the Working of State Electricity Boards &amp; Electricity Departments, 2014, page 65</t>
  </si>
  <si>
    <t xml:space="preserve"> </t>
  </si>
  <si>
    <t>India</t>
  </si>
  <si>
    <t>Created from: World Development Indicators
Series : GDP (current US$)</t>
  </si>
  <si>
    <t>INR/Kwh</t>
  </si>
  <si>
    <t>Tariff for Power Purchase</t>
  </si>
  <si>
    <t>Annual Report on the Working of State Electricity Boards and Electricity Department, 1999, 2001, 2011, 2014, Annex 4.2</t>
  </si>
  <si>
    <t>Demand per Sector (GWh)</t>
  </si>
  <si>
    <t>Net Generation (GWh)</t>
  </si>
  <si>
    <t>Total Demand (GWh)</t>
  </si>
  <si>
    <t>Demand-Supply Balancen (GWh)</t>
  </si>
  <si>
    <t>Inflation Rate</t>
  </si>
  <si>
    <t>Power Supply Cost Total (INR/kWh)</t>
  </si>
  <si>
    <t>This is the cost incured by distributors</t>
  </si>
  <si>
    <t>Coal Price (INR/kWh)</t>
  </si>
  <si>
    <t>Annual Report on the Working of State Electricity Boards and Electricity Department, 1999, 2001, 2011, 2014, Annex 4.10</t>
  </si>
  <si>
    <t>Gas Price (INR/kWh)</t>
  </si>
  <si>
    <t>The gas price is the product of 1.64 and the price for coal. The coefficient is driven from the comparison between the price of gas (Gas-Fired Power Generation in India: Challenges and Opportunities, page 13) and coal at 2005. It should be replaced by a precise value. it can also be replyed by price of gas for power generation in the US</t>
  </si>
  <si>
    <t>INR/MWh</t>
  </si>
  <si>
    <t>Coal</t>
  </si>
  <si>
    <t>Gas</t>
  </si>
  <si>
    <t>Wind</t>
  </si>
  <si>
    <t>Solar</t>
  </si>
  <si>
    <t>Capital Cost (INR/MW)</t>
  </si>
  <si>
    <t xml:space="preserve">the investment in each year should consider the discounted value of money and also learning rate. We just have the value for 2012 (the working group on power 12th plan, Page 401 and World Energy Outlook 2014-Power Generation Investment Assumptions). We need to calculate the rest with a formula PV=(FV*(1+i)^-n)*learning multipier. </t>
  </si>
  <si>
    <t>Time (year)</t>
  </si>
  <si>
    <t>"learning multiplier[Constellations]"  Runs:</t>
  </si>
  <si>
    <t>14</t>
  </si>
  <si>
    <t>learning multiplier</t>
  </si>
  <si>
    <t>[Coal]</t>
  </si>
  <si>
    <t>[Gas]</t>
  </si>
  <si>
    <t>[Wind]</t>
  </si>
  <si>
    <t>[Solar]</t>
  </si>
  <si>
    <t>Hydro</t>
  </si>
  <si>
    <t>Nuclear</t>
  </si>
  <si>
    <t>Biomass</t>
  </si>
  <si>
    <t>Total</t>
  </si>
  <si>
    <t>Small Hydro</t>
  </si>
  <si>
    <t xml:space="preserve">Growth of Electricity Sector in India from; Cumulative Installed Wind Power Capacity in Top Ten Countries and the World, 1980-2014; </t>
  </si>
  <si>
    <t>Installed capacity (MW)</t>
  </si>
  <si>
    <t>"Investment Cost time value[Constellations]"  Runs:</t>
  </si>
  <si>
    <t>16</t>
  </si>
  <si>
    <t>Investment Cost time value</t>
  </si>
  <si>
    <t>Expenditure in power sector (Rs Crore/year)</t>
  </si>
  <si>
    <t>Investment growth in generation (Rs Crore/year)</t>
  </si>
  <si>
    <t>Investment in Coal generation (INR/year)</t>
  </si>
  <si>
    <t>Investment in Gas generation (INR/year)</t>
  </si>
  <si>
    <t>Investment in Wind generation (INR/year)</t>
  </si>
  <si>
    <t>Investment in solar generation (INR/year)</t>
  </si>
  <si>
    <t>Coal Price 100% efficient (INR/kWh)</t>
  </si>
  <si>
    <t>Gas Price 100% efficient (INR/kWh)</t>
  </si>
  <si>
    <t>the price with 100% efficiency is calculated assuming 34% for coal power plants and 54% for gas.</t>
  </si>
  <si>
    <t>[Coal] (Rs Crore)</t>
  </si>
  <si>
    <t>[Gas] (Rs Crore)</t>
  </si>
  <si>
    <t>[Wind] (Rs Crore)</t>
  </si>
  <si>
    <t>[Solar] (Rs Crore)</t>
  </si>
  <si>
    <t>"totall investment in generation [Constellations]"  Runs: Model produced data based on the raw data</t>
  </si>
  <si>
    <t>total growth (INR/year)</t>
  </si>
  <si>
    <t>Share in total growth</t>
  </si>
  <si>
    <t>calculated based on of the raw investment growth and toal growth</t>
  </si>
  <si>
    <t>relative attractiveness for investors</t>
  </si>
  <si>
    <t>Selected Variables Runs:</t>
  </si>
  <si>
    <t>relative attractviness for investors raw</t>
  </si>
  <si>
    <t>relative attractviness for investors raw[Gas]</t>
  </si>
  <si>
    <t>relative attractviness for investors raw[Wind]</t>
  </si>
  <si>
    <t>relative attractviness for investors raw[Solar]</t>
  </si>
  <si>
    <t>unknown factor is calculated by dividing raw data by the model produced data.</t>
  </si>
  <si>
    <t>Demand Perceived Present Condition DPPC Raw[Industrial]</t>
  </si>
  <si>
    <t>indicated electricity demand[Industrial]</t>
  </si>
  <si>
    <t>Total demand</t>
  </si>
  <si>
    <t>it's calculated cosidering the share of each sector from total consumption multiplied by total demand.</t>
  </si>
  <si>
    <t>Misc.</t>
  </si>
  <si>
    <t>Misc</t>
  </si>
  <si>
    <t>X Factor for demand [industrial]</t>
  </si>
  <si>
    <t>X Factor for demand [agriculture]</t>
  </si>
  <si>
    <t>Demand Perceived Present Condition DPPC Raw[Agriculture]</t>
  </si>
  <si>
    <t>indicated electricity demand[Agriculture]</t>
  </si>
  <si>
    <t>Demand Perceived Present Condition DPPC[Domestic]</t>
  </si>
  <si>
    <t>Demand Perceived Present Condition DPPC Raw[Domestic]</t>
  </si>
  <si>
    <t>X Factor for demand [domestic]</t>
  </si>
  <si>
    <t>net generated electricity</t>
  </si>
  <si>
    <t>net generated electricity raw</t>
  </si>
  <si>
    <t>X Factor for generation</t>
  </si>
  <si>
    <t>Demand Perceived Present Condition DPPC[Commercial]</t>
  </si>
  <si>
    <t>Demand Perceived Present Condition DPPC Raw[Commercial]</t>
  </si>
  <si>
    <t>X Factor for demand [commercial]</t>
  </si>
  <si>
    <t>Coal consumption for power generation (MT/year)</t>
  </si>
  <si>
    <t>Coal consumption for power generation (T/year)</t>
  </si>
  <si>
    <t>1990</t>
  </si>
  <si>
    <t>1991</t>
  </si>
  <si>
    <t>1992</t>
  </si>
  <si>
    <t>1993</t>
  </si>
  <si>
    <t>1994</t>
  </si>
  <si>
    <t>1995</t>
  </si>
  <si>
    <t>1996</t>
  </si>
  <si>
    <t>1997</t>
  </si>
  <si>
    <t>1998</t>
  </si>
  <si>
    <t>1999</t>
  </si>
  <si>
    <t>2000</t>
  </si>
  <si>
    <t>2001</t>
  </si>
  <si>
    <t>2002</t>
  </si>
  <si>
    <t>2003</t>
  </si>
  <si>
    <t>2004</t>
  </si>
  <si>
    <t>2005</t>
  </si>
  <si>
    <t>2006</t>
  </si>
  <si>
    <t>2007</t>
  </si>
  <si>
    <t>2008</t>
  </si>
  <si>
    <t>2009</t>
  </si>
  <si>
    <t>Energy imports, net (% of energy use)</t>
  </si>
  <si>
    <t>Created from: World Development Indicators
Country : India</t>
  </si>
  <si>
    <t>Coal import for generation (MT)</t>
  </si>
  <si>
    <t>Model produced coal import for generation</t>
  </si>
  <si>
    <t>Correction factor</t>
  </si>
  <si>
    <t>Target</t>
  </si>
  <si>
    <t>Performance Review of Thermal Power Stations: Anuual Report 2011-2012; page ; Performance Review of Thermal Power Stations: Anuual Report 2012-2013, page 30</t>
  </si>
  <si>
    <t>RPO (%)</t>
  </si>
  <si>
    <t>Generation capacity (MW)</t>
  </si>
  <si>
    <t>Private</t>
  </si>
  <si>
    <t>Growth of Electricity Sector in India From 1947-2015, page 16; Ministry of Power Annual Report 1997-1998, page 76</t>
  </si>
  <si>
    <t>Share of Private to total</t>
  </si>
  <si>
    <t>Mean of X Factors for Demand [Industrial]</t>
  </si>
  <si>
    <t>Standard Deviation of X Factors for Demand [Industrial]</t>
  </si>
  <si>
    <t>Mean of X Factors for Demand [Agriculture]</t>
  </si>
  <si>
    <t>Standard Deviation of X Factors for Demand [Agriculture]</t>
  </si>
  <si>
    <t>Mean of X Factors for Demand [Domestic]</t>
  </si>
  <si>
    <t>Standard Deviation of X Factors for Demand [Domestic]</t>
  </si>
  <si>
    <t>Mean of X Factors for Demand [Commercial]</t>
  </si>
  <si>
    <t>Standard Deviation of X Factors for Demand [Commercial]</t>
  </si>
  <si>
    <t>"relative attractiveness for investors[Constellations]"  Runs:</t>
  </si>
  <si>
    <t>22</t>
  </si>
  <si>
    <t>23</t>
  </si>
  <si>
    <t>Hydro+nuclear</t>
  </si>
  <si>
    <t>Small hydro+biomass+cogeneration bagasse</t>
  </si>
  <si>
    <t>total RES (including small hydro)</t>
  </si>
  <si>
    <t>Wind+Solar (model produced)</t>
  </si>
  <si>
    <t>growth in Hydro+nuclear</t>
  </si>
  <si>
    <t>Tariff for Power Purchase (estimated for 1885)</t>
  </si>
  <si>
    <t>Energy domestic, net (% of energy use)</t>
  </si>
  <si>
    <t>26</t>
  </si>
  <si>
    <t>Public (central+state)</t>
  </si>
  <si>
    <t>Share of Private to total investment (INR/Year)</t>
  </si>
  <si>
    <t>Total private investment growth (INR/year)</t>
  </si>
  <si>
    <t>Total Public Investment Growth (INR/year)</t>
  </si>
  <si>
    <t>Share of private to public</t>
  </si>
  <si>
    <t>Vision and Target setting</t>
  </si>
  <si>
    <t>2010</t>
  </si>
  <si>
    <t>2011</t>
  </si>
  <si>
    <t>2012</t>
  </si>
  <si>
    <t>2013</t>
  </si>
  <si>
    <t>2014</t>
  </si>
  <si>
    <t>2015</t>
  </si>
  <si>
    <t>30</t>
  </si>
  <si>
    <t>31</t>
  </si>
  <si>
    <t>32</t>
  </si>
  <si>
    <t>35</t>
  </si>
  <si>
    <t>36</t>
  </si>
  <si>
    <t>41</t>
  </si>
  <si>
    <t>43</t>
  </si>
  <si>
    <t>45</t>
  </si>
  <si>
    <t>47</t>
  </si>
  <si>
    <t>49</t>
  </si>
  <si>
    <t>44</t>
  </si>
  <si>
    <t>48</t>
  </si>
  <si>
    <t>46</t>
  </si>
  <si>
    <t>53</t>
  </si>
  <si>
    <t>59</t>
  </si>
  <si>
    <t>61</t>
  </si>
  <si>
    <t>Created from: World Development Indicators
Series : Official exchange rate (LCU per US$, period average)</t>
  </si>
  <si>
    <t>18</t>
  </si>
  <si>
    <t>Effect of Government Expenditure on Public Investment (Model produced)</t>
  </si>
  <si>
    <t>Desired Public Investment</t>
  </si>
  <si>
    <t>"Total Investment Growth tig"  Runs:</t>
  </si>
  <si>
    <t>Total Investment Growth tig</t>
  </si>
  <si>
    <t>The values for investment growth is partially based on the documented data. The Working Group on Power for  Twelfth Plan (Appendix 8.1) gives the share of generation expenses in total power sector expenses. This ratio is equal to .6 approximtly throughout the time. The this ratio is multiplied by the expenses in power sectors driven from Annual Report on the Working of State Electricity Boards &amp; Electricity Departments, 1999, 2014, Annex 2.1, which generates at the end the investment in power generation in each year.</t>
  </si>
  <si>
    <t>The investment growth in generation for each source is the product of installed capacity and investment cost (per MW).</t>
  </si>
  <si>
    <t>X Values (corresp. To years) for extrapolation</t>
  </si>
  <si>
    <t>X value (corresp. years) for extrapolation</t>
  </si>
  <si>
    <t>Forecasted values driven from http://www.ifs.du.edu/ifs/frm_TableDisplay.aspx</t>
  </si>
  <si>
    <t>Forecasted values from http://www.ifs.du.edu/ifs/frm_TableDisplay.aspx</t>
  </si>
  <si>
    <t>Infrastructure Investment, Public sector, New generation capacities (B$2010)</t>
  </si>
  <si>
    <t>Infrastructure Investment, Public sector, New generation capacities (INR2010)</t>
  </si>
  <si>
    <t>The Rupee equivalent is calculated based on US$ Rupee conversion factor in 2010</t>
  </si>
  <si>
    <t>Data are driven from http://www.ifs.du.edu/ifs/frm_TableDisplay.aspx</t>
  </si>
  <si>
    <t>Infrastructure Investment, Private sector, New generation capacities (B$2010)</t>
  </si>
  <si>
    <t>Infrastructure Investment, Private sector, New generation capacities (INR2010)</t>
  </si>
  <si>
    <t>Share of public to total</t>
  </si>
  <si>
    <t>Share of private to total</t>
  </si>
  <si>
    <t>wind</t>
  </si>
  <si>
    <t>Extrapolated with polynomial function</t>
  </si>
  <si>
    <t>Gross Generated Electricity (GWh)</t>
  </si>
  <si>
    <t>"Indicated Electricity Demand of Consumers IED[Consumers]"  Runs:</t>
  </si>
  <si>
    <t>Historical Transition</t>
  </si>
  <si>
    <t>Indicated Electricity Demand of Consumers IED[Agriculture]</t>
  </si>
  <si>
    <t>Inflation rate (+50%)</t>
  </si>
  <si>
    <t>Inflation rate (-50%)</t>
  </si>
  <si>
    <t>Population (Millions)</t>
  </si>
  <si>
    <t>https://esa.un.org/unpd/wpp/DVD/Files/1_Indicators%20(Standard)/EXCEL_FILES/1_Population/WPP2015_POP_F01_1_TOTAL_POPULATION_BOTH_SEXES.XLS</t>
  </si>
  <si>
    <t>United Nations, Population Division, Department of Economic and Social Affairs</t>
  </si>
  <si>
    <t>High variant fertality</t>
  </si>
  <si>
    <t>Low variant fertality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</si>
</sst>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 ###\ ###\ ##0;\-#\ ###\ ###\ ##0;0"/>
  </numFmts>
  <fonts count="22"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b/>
      <sz val="8"/>
      <name val="Tahoma"/>
      <family val="2"/>
    </font>
    <font>
      <b/>
      <sz val="8"/>
      <name val="Arial"/>
      <family val="2"/>
    </font>
    <font>
      <sz val="8"/>
      <name val="Arial"/>
      <family val="2"/>
    </font>
    <font>
      <sz val="9"/>
      <name val="Times New Roman"/>
      <family val="1"/>
    </font>
    <font>
      <sz val="8"/>
      <name val="Tahoma"/>
      <family val="2"/>
    </font>
    <font>
      <b/>
      <sz val="8"/>
      <name val="Tahoma"/>
      <family val="2"/>
    </font>
    <font>
      <b/>
      <sz val="8"/>
      <name val="Arial"/>
      <family val="2"/>
    </font>
    <font>
      <sz val="8"/>
      <name val="Arial"/>
      <family val="2"/>
    </font>
    <font>
      <sz val="11"/>
      <color rgb="FF9C0006"/>
      <name val="Calibri"/>
      <family val="2"/>
      <scheme val="minor"/>
    </font>
    <font>
      <b/>
      <sz val="8"/>
      <name val="Tahoma"/>
      <charset val="1"/>
    </font>
    <font>
      <b/>
      <sz val="8"/>
      <name val="Arial"/>
      <charset val="1"/>
    </font>
    <font>
      <sz val="8"/>
      <name val="Arial"/>
      <charset val="1"/>
    </font>
    <font>
      <sz val="9"/>
      <name val="Times New Roman"/>
      <charset val="1"/>
    </font>
    <font>
      <sz val="8"/>
      <name val="Tahoma"/>
      <charset val="1"/>
    </font>
    <font>
      <sz val="11"/>
      <color theme="1"/>
      <name val="Times New Roman"/>
      <family val="1"/>
    </font>
    <font>
      <u/>
      <sz val="11"/>
      <color theme="10"/>
      <name val="Calibri"/>
      <family val="2"/>
      <scheme val="minor"/>
    </font>
    <font>
      <u/>
      <sz val="11"/>
      <color theme="11"/>
      <name val="Calibri"/>
      <family val="2"/>
      <scheme val="minor"/>
    </font>
    <font>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7CE"/>
      </patternFill>
    </fill>
    <fill>
      <patternFill patternType="solid">
        <fgColor rgb="FFFFFFFF"/>
        <bgColor indexed="64"/>
      </patternFill>
    </fill>
    <fill>
      <patternFill patternType="solid">
        <fgColor rgb="FFD3D3D3"/>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bottom/>
      <diagonal/>
    </border>
    <border>
      <left style="thin">
        <color indexed="63"/>
      </left>
      <right/>
      <top style="thin">
        <color indexed="63"/>
      </top>
      <bottom style="thin">
        <color indexed="63"/>
      </bottom>
      <diagonal/>
    </border>
    <border>
      <left style="thin">
        <color rgb="FF000000"/>
      </left>
      <right style="thin">
        <color rgb="FF000000"/>
      </right>
      <top style="thin">
        <color rgb="FF000000"/>
      </top>
      <bottom style="thin">
        <color rgb="FF000000"/>
      </bottom>
      <diagonal/>
    </border>
  </borders>
  <cellStyleXfs count="32">
    <xf numFmtId="0" fontId="0" fillId="0" borderId="0"/>
    <xf numFmtId="0" fontId="12" fillId="4"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1">
    <xf numFmtId="0" fontId="0" fillId="0" borderId="0" xfId="0"/>
    <xf numFmtId="0" fontId="1" fillId="0" borderId="3" xfId="0" applyFont="1" applyFill="1" applyBorder="1"/>
    <xf numFmtId="0" fontId="1" fillId="0" borderId="1" xfId="0" applyFont="1" applyFill="1" applyBorder="1"/>
    <xf numFmtId="0" fontId="3" fillId="0" borderId="0" xfId="0" applyFont="1"/>
    <xf numFmtId="2" fontId="2" fillId="2" borderId="4" xfId="0" applyNumberFormat="1" applyFont="1" applyFill="1" applyBorder="1"/>
    <xf numFmtId="2" fontId="2" fillId="0" borderId="5" xfId="0" applyNumberFormat="1" applyFont="1" applyFill="1" applyBorder="1"/>
    <xf numFmtId="2" fontId="0" fillId="0" borderId="0" xfId="0" applyNumberFormat="1" applyFont="1"/>
    <xf numFmtId="2" fontId="2" fillId="0" borderId="0" xfId="0" applyNumberFormat="1" applyFont="1" applyFill="1" applyBorder="1"/>
    <xf numFmtId="2" fontId="0" fillId="2" borderId="0" xfId="0" applyNumberFormat="1" applyFont="1" applyFill="1"/>
    <xf numFmtId="2" fontId="2" fillId="0" borderId="2" xfId="0" applyNumberFormat="1" applyFont="1" applyFill="1" applyBorder="1"/>
    <xf numFmtId="1" fontId="3" fillId="0" borderId="0" xfId="0" applyNumberFormat="1" applyFont="1"/>
    <xf numFmtId="2" fontId="2" fillId="3" borderId="4" xfId="0" applyNumberFormat="1" applyFont="1" applyFill="1" applyBorder="1"/>
    <xf numFmtId="2" fontId="2" fillId="3" borderId="5" xfId="0" applyNumberFormat="1" applyFont="1" applyFill="1" applyBorder="1"/>
    <xf numFmtId="2" fontId="0" fillId="3" borderId="0" xfId="0" applyNumberFormat="1" applyFont="1" applyFill="1"/>
    <xf numFmtId="2" fontId="2" fillId="3" borderId="0" xfId="0" applyNumberFormat="1" applyFont="1" applyFill="1" applyBorder="1"/>
    <xf numFmtId="2" fontId="2" fillId="3" borderId="2" xfId="0" applyNumberFormat="1" applyFont="1" applyFill="1" applyBorder="1"/>
    <xf numFmtId="2" fontId="2" fillId="2" borderId="0" xfId="0" applyNumberFormat="1" applyFont="1" applyFill="1" applyBorder="1"/>
    <xf numFmtId="0" fontId="1" fillId="0" borderId="0" xfId="0" applyFont="1" applyFill="1" applyBorder="1"/>
    <xf numFmtId="164" fontId="2" fillId="0" borderId="4" xfId="0" applyNumberFormat="1" applyFont="1" applyFill="1" applyBorder="1"/>
    <xf numFmtId="1" fontId="0" fillId="0" borderId="0" xfId="0" applyNumberFormat="1"/>
    <xf numFmtId="49" fontId="4" fillId="0" borderId="6" xfId="0" applyNumberFormat="1" applyFont="1" applyFill="1" applyBorder="1" applyAlignment="1" applyProtection="1">
      <alignment horizontal="center" vertical="center" wrapText="1" shrinkToFit="1"/>
    </xf>
    <xf numFmtId="1" fontId="4" fillId="0" borderId="6" xfId="0" applyNumberFormat="1" applyFont="1" applyFill="1" applyBorder="1" applyAlignment="1" applyProtection="1">
      <alignment horizontal="center" vertical="center" wrapText="1" shrinkToFit="1"/>
    </xf>
    <xf numFmtId="1" fontId="4" fillId="0" borderId="7" xfId="0" applyNumberFormat="1" applyFont="1" applyFill="1" applyBorder="1" applyAlignment="1" applyProtection="1">
      <alignment horizontal="center" vertical="center" wrapText="1" shrinkToFit="1"/>
    </xf>
    <xf numFmtId="49" fontId="5" fillId="0" borderId="6" xfId="0" applyNumberFormat="1" applyFont="1" applyFill="1" applyBorder="1" applyAlignment="1" applyProtection="1">
      <alignment horizontal="left" vertical="center" wrapText="1" shrinkToFit="1"/>
    </xf>
    <xf numFmtId="3" fontId="6" fillId="0" borderId="6" xfId="0" applyNumberFormat="1" applyFont="1" applyFill="1" applyBorder="1" applyAlignment="1" applyProtection="1">
      <alignment horizontal="right" vertical="center" wrapText="1" shrinkToFit="1"/>
    </xf>
    <xf numFmtId="1" fontId="6" fillId="0" borderId="6" xfId="0" applyNumberFormat="1" applyFont="1" applyFill="1" applyBorder="1" applyAlignment="1" applyProtection="1">
      <alignment horizontal="right" vertical="center" wrapText="1" shrinkToFit="1"/>
    </xf>
    <xf numFmtId="0" fontId="8" fillId="0" borderId="0" xfId="0" applyNumberFormat="1" applyFont="1" applyFill="1" applyBorder="1" applyAlignment="1" applyProtection="1">
      <alignment horizontal="left" vertical="top"/>
    </xf>
    <xf numFmtId="0" fontId="0" fillId="2" borderId="0" xfId="0" applyFill="1"/>
    <xf numFmtId="2" fontId="0" fillId="2" borderId="0" xfId="0" applyNumberFormat="1" applyFill="1"/>
    <xf numFmtId="2" fontId="0" fillId="0" borderId="0" xfId="0" applyNumberFormat="1"/>
    <xf numFmtId="2" fontId="6" fillId="0" borderId="6" xfId="0" applyNumberFormat="1" applyFont="1" applyFill="1" applyBorder="1" applyAlignment="1" applyProtection="1">
      <alignment horizontal="right" vertical="center" wrapText="1" shrinkToFit="1"/>
    </xf>
    <xf numFmtId="2" fontId="6" fillId="0" borderId="8" xfId="0" applyNumberFormat="1" applyFont="1" applyFill="1" applyBorder="1" applyAlignment="1" applyProtection="1">
      <alignment vertical="center" shrinkToFit="1"/>
    </xf>
    <xf numFmtId="1" fontId="0" fillId="2" borderId="0" xfId="0" applyNumberFormat="1" applyFill="1"/>
    <xf numFmtId="165" fontId="0" fillId="0" borderId="0" xfId="0" applyNumberFormat="1"/>
    <xf numFmtId="0" fontId="0" fillId="0" borderId="0" xfId="0" applyFont="1"/>
    <xf numFmtId="164" fontId="0" fillId="0" borderId="0" xfId="0" applyNumberFormat="1"/>
    <xf numFmtId="49" fontId="9" fillId="0" borderId="6" xfId="0" applyNumberFormat="1" applyFont="1" applyFill="1" applyBorder="1" applyAlignment="1" applyProtection="1">
      <alignment horizontal="center" vertical="center" wrapText="1" shrinkToFit="1"/>
    </xf>
    <xf numFmtId="49" fontId="10" fillId="0" borderId="6" xfId="0" applyNumberFormat="1" applyFont="1" applyFill="1" applyBorder="1" applyAlignment="1" applyProtection="1">
      <alignment horizontal="left" vertical="center" wrapText="1" shrinkToFit="1"/>
    </xf>
    <xf numFmtId="1" fontId="9" fillId="0" borderId="6" xfId="0" applyNumberFormat="1" applyFont="1" applyFill="1" applyBorder="1" applyAlignment="1" applyProtection="1">
      <alignment horizontal="center" vertical="center" wrapText="1" shrinkToFit="1"/>
    </xf>
    <xf numFmtId="1" fontId="9" fillId="0" borderId="8" xfId="0" applyNumberFormat="1" applyFont="1" applyFill="1" applyBorder="1" applyAlignment="1" applyProtection="1">
      <alignment vertical="center" wrapText="1" shrinkToFit="1"/>
    </xf>
    <xf numFmtId="166" fontId="0" fillId="0" borderId="0" xfId="0" applyNumberFormat="1"/>
    <xf numFmtId="1" fontId="0" fillId="0" borderId="0" xfId="0" applyNumberFormat="1" applyFill="1"/>
    <xf numFmtId="0" fontId="3" fillId="0" borderId="0" xfId="0" applyFont="1" applyAlignment="1">
      <alignment wrapText="1"/>
    </xf>
    <xf numFmtId="0" fontId="12" fillId="4" borderId="0" xfId="1"/>
    <xf numFmtId="0" fontId="12" fillId="4" borderId="0" xfId="1" applyAlignment="1"/>
    <xf numFmtId="49" fontId="13" fillId="0" borderId="6" xfId="0" applyNumberFormat="1" applyFont="1" applyFill="1" applyBorder="1" applyAlignment="1" applyProtection="1">
      <alignment horizontal="center" vertical="center" wrapText="1" shrinkToFit="1"/>
    </xf>
    <xf numFmtId="49" fontId="14" fillId="0" borderId="6" xfId="0" applyNumberFormat="1" applyFont="1" applyFill="1" applyBorder="1" applyAlignment="1" applyProtection="1">
      <alignment horizontal="left" vertical="center" wrapText="1" shrinkToFit="1"/>
    </xf>
    <xf numFmtId="49" fontId="15" fillId="0" borderId="6" xfId="0" applyNumberFormat="1" applyFont="1" applyFill="1" applyBorder="1" applyAlignment="1" applyProtection="1">
      <alignment horizontal="right" vertical="center" wrapText="1" shrinkToFit="1"/>
    </xf>
    <xf numFmtId="0" fontId="17" fillId="0" borderId="0" xfId="0" applyNumberFormat="1" applyFont="1" applyFill="1" applyBorder="1" applyAlignment="1" applyProtection="1">
      <alignment horizontal="left" vertical="top"/>
    </xf>
    <xf numFmtId="167" fontId="0" fillId="0" borderId="0" xfId="0" applyNumberFormat="1"/>
    <xf numFmtId="1" fontId="4" fillId="0" borderId="6" xfId="0" applyNumberFormat="1" applyFont="1" applyFill="1" applyBorder="1" applyAlignment="1" applyProtection="1">
      <alignment horizontal="center" vertical="center" wrapText="1" shrinkToFit="1"/>
    </xf>
    <xf numFmtId="164" fontId="2" fillId="2" borderId="0" xfId="0" applyNumberFormat="1" applyFont="1" applyFill="1" applyBorder="1"/>
    <xf numFmtId="164" fontId="0" fillId="2" borderId="0" xfId="0" applyNumberFormat="1" applyFill="1"/>
    <xf numFmtId="2" fontId="0" fillId="0" borderId="0" xfId="0" applyNumberFormat="1" applyAlignment="1">
      <alignment horizontal="right"/>
    </xf>
    <xf numFmtId="0" fontId="18" fillId="6" borderId="9" xfId="0" applyFont="1" applyFill="1" applyBorder="1" applyAlignment="1">
      <alignment vertical="center" wrapText="1"/>
    </xf>
    <xf numFmtId="3" fontId="18" fillId="5" borderId="9" xfId="0" applyNumberFormat="1" applyFont="1" applyFill="1" applyBorder="1" applyAlignment="1">
      <alignment vertical="center" wrapText="1"/>
    </xf>
    <xf numFmtId="0" fontId="18" fillId="5" borderId="9" xfId="0" applyFont="1" applyFill="1" applyBorder="1" applyAlignment="1">
      <alignment vertical="center" wrapText="1"/>
    </xf>
    <xf numFmtId="166" fontId="0" fillId="2" borderId="0" xfId="0" applyNumberFormat="1" applyFill="1"/>
    <xf numFmtId="2" fontId="0" fillId="0" borderId="0" xfId="0" applyNumberFormat="1" applyFill="1" applyAlignment="1"/>
    <xf numFmtId="2" fontId="0" fillId="2" borderId="0" xfId="0" applyNumberFormat="1" applyFill="1" applyBorder="1" applyAlignment="1"/>
    <xf numFmtId="165" fontId="11" fillId="0" borderId="6" xfId="0" applyNumberFormat="1" applyFont="1" applyFill="1" applyBorder="1" applyAlignment="1" applyProtection="1">
      <alignment horizontal="right" vertical="center" wrapText="1" shrinkToFit="1"/>
    </xf>
    <xf numFmtId="165" fontId="11" fillId="0" borderId="8" xfId="0" applyNumberFormat="1" applyFont="1" applyFill="1" applyBorder="1" applyAlignment="1" applyProtection="1">
      <alignment vertical="center" wrapText="1" shrinkToFit="1"/>
    </xf>
    <xf numFmtId="165" fontId="11" fillId="2" borderId="6" xfId="0" applyNumberFormat="1" applyFont="1" applyFill="1" applyBorder="1" applyAlignment="1" applyProtection="1">
      <alignment horizontal="right" vertical="center" wrapText="1" shrinkToFit="1"/>
    </xf>
    <xf numFmtId="165" fontId="0" fillId="2" borderId="0" xfId="0" applyNumberFormat="1" applyFill="1"/>
    <xf numFmtId="0" fontId="12" fillId="2" borderId="0" xfId="1" applyFill="1"/>
    <xf numFmtId="0" fontId="0" fillId="0" borderId="0" xfId="0" applyAlignment="1">
      <alignment wrapText="1"/>
    </xf>
    <xf numFmtId="0" fontId="0" fillId="0" borderId="0" xfId="0" applyFill="1"/>
    <xf numFmtId="1" fontId="4" fillId="0" borderId="6" xfId="0" applyNumberFormat="1" applyFont="1" applyFill="1" applyBorder="1" applyAlignment="1" applyProtection="1">
      <alignment horizontal="center" vertical="center" wrapText="1" shrinkToFit="1"/>
    </xf>
    <xf numFmtId="1" fontId="4" fillId="0" borderId="8" xfId="0" applyNumberFormat="1" applyFont="1" applyFill="1" applyBorder="1" applyAlignment="1" applyProtection="1">
      <alignment vertical="center" wrapText="1" shrinkToFit="1"/>
    </xf>
    <xf numFmtId="1" fontId="6" fillId="0" borderId="8" xfId="0" applyNumberFormat="1" applyFont="1" applyFill="1" applyBorder="1" applyAlignment="1" applyProtection="1">
      <alignment vertical="center" wrapText="1" shrinkToFit="1"/>
    </xf>
    <xf numFmtId="168" fontId="21" fillId="0" borderId="0" xfId="0" applyNumberFormat="1" applyFont="1" applyAlignment="1">
      <alignment horizontal="right"/>
    </xf>
    <xf numFmtId="0" fontId="0" fillId="0" borderId="0" xfId="0" applyAlignment="1">
      <alignment horizontal="left" wrapText="1"/>
    </xf>
    <xf numFmtId="0" fontId="0" fillId="0" borderId="0" xfId="0" applyAlignment="1">
      <alignment horizontal="center"/>
    </xf>
    <xf numFmtId="0" fontId="1" fillId="0" borderId="0" xfId="0" applyFont="1" applyFill="1" applyBorder="1" applyAlignment="1">
      <alignment horizontal="left" vertical="top" wrapText="1"/>
    </xf>
    <xf numFmtId="0" fontId="0" fillId="0" borderId="0" xfId="0" applyAlignment="1">
      <alignment horizontal="left" vertical="top" wrapText="1"/>
    </xf>
    <xf numFmtId="0" fontId="7" fillId="0" borderId="0" xfId="0" applyNumberFormat="1" applyFont="1" applyFill="1" applyBorder="1" applyAlignment="1" applyProtection="1">
      <alignment horizontal="left" vertical="top" wrapText="1" shrinkToFit="1"/>
    </xf>
    <xf numFmtId="0" fontId="0" fillId="0" borderId="0" xfId="0" applyAlignment="1">
      <alignment horizontal="center" wrapText="1"/>
    </xf>
    <xf numFmtId="0" fontId="3" fillId="0" borderId="0" xfId="0" applyFont="1" applyAlignment="1">
      <alignment horizontal="center"/>
    </xf>
    <xf numFmtId="49" fontId="13" fillId="0" borderId="6" xfId="0" applyNumberFormat="1" applyFont="1" applyFill="1" applyBorder="1" applyAlignment="1" applyProtection="1">
      <alignment horizontal="center" vertical="center" wrapText="1" shrinkToFit="1"/>
    </xf>
    <xf numFmtId="49" fontId="15" fillId="0" borderId="6" xfId="0" applyNumberFormat="1" applyFont="1" applyFill="1" applyBorder="1" applyAlignment="1" applyProtection="1">
      <alignment horizontal="right" vertical="center" wrapText="1" shrinkToFit="1"/>
    </xf>
    <xf numFmtId="0" fontId="16" fillId="0" borderId="0" xfId="0" applyNumberFormat="1" applyFont="1" applyFill="1" applyBorder="1" applyAlignment="1" applyProtection="1">
      <alignment horizontal="left" vertical="top" wrapText="1" shrinkToFit="1"/>
    </xf>
  </cellXfs>
  <cellStyles count="32">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val>
            <c:numRef>
              <c:f>'Demand-Supply Balance'!$AA$8:$AP$8</c:f>
              <c:numCache>
                <c:formatCode>General</c:formatCode>
                <c:ptCount val="16"/>
                <c:pt idx="0">
                  <c:v>1311.050527</c:v>
                </c:pt>
                <c:pt idx="1">
                  <c:v>1327.069366</c:v>
                </c:pt>
                <c:pt idx="2">
                  <c:v>1343.169229</c:v>
                </c:pt>
                <c:pt idx="3">
                  <c:v>1359.297763</c:v>
                </c:pt>
                <c:pt idx="4">
                  <c:v>1375.36946</c:v>
                </c:pt>
                <c:pt idx="5">
                  <c:v>1391.31746</c:v>
                </c:pt>
                <c:pt idx="6">
                  <c:v>1407.124409</c:v>
                </c:pt>
                <c:pt idx="7">
                  <c:v>1422.797519</c:v>
                </c:pt>
                <c:pt idx="8">
                  <c:v>1438.321215</c:v>
                </c:pt>
                <c:pt idx="9">
                  <c:v>1453.682393</c:v>
                </c:pt>
                <c:pt idx="10">
                  <c:v>1468.866192</c:v>
                </c:pt>
                <c:pt idx="11">
                  <c:v>1483.860155</c:v>
                </c:pt>
                <c:pt idx="12">
                  <c:v>1498.644386</c:v>
                </c:pt>
                <c:pt idx="13">
                  <c:v>1513.188487</c:v>
                </c:pt>
                <c:pt idx="14">
                  <c:v>1527.457419</c:v>
                </c:pt>
                <c:pt idx="15">
                  <c:v>1541.424218</c:v>
                </c:pt>
              </c:numCache>
            </c:numRef>
          </c:val>
          <c:smooth val="0"/>
        </c:ser>
        <c:ser>
          <c:idx val="2"/>
          <c:order val="1"/>
          <c:spPr>
            <a:ln w="28575" cap="rnd">
              <a:solidFill>
                <a:schemeClr val="accent3"/>
              </a:solidFill>
              <a:round/>
            </a:ln>
            <a:effectLst/>
          </c:spPr>
          <c:marker>
            <c:symbol val="none"/>
          </c:marker>
          <c:val>
            <c:numRef>
              <c:f>'Demand-Supply Balance'!$AA$9:$AP$9</c:f>
              <c:numCache>
                <c:formatCode>General</c:formatCode>
                <c:ptCount val="16"/>
                <c:pt idx="0">
                  <c:v>1311.050527</c:v>
                </c:pt>
                <c:pt idx="1">
                  <c:v>1328.331743</c:v>
                </c:pt>
                <c:pt idx="2">
                  <c:v>1346.24485</c:v>
                </c:pt>
                <c:pt idx="3">
                  <c:v>1364.651054</c:v>
                </c:pt>
                <c:pt idx="4">
                  <c:v>1383.32427</c:v>
                </c:pt>
                <c:pt idx="5">
                  <c:v>1402.090801</c:v>
                </c:pt>
                <c:pt idx="6">
                  <c:v>1420.901833</c:v>
                </c:pt>
                <c:pt idx="7">
                  <c:v>1439.785261</c:v>
                </c:pt>
                <c:pt idx="8">
                  <c:v>1458.729128</c:v>
                </c:pt>
                <c:pt idx="9">
                  <c:v>1477.737016</c:v>
                </c:pt>
                <c:pt idx="10">
                  <c:v>1496.796743</c:v>
                </c:pt>
                <c:pt idx="11">
                  <c:v>1515.894262</c:v>
                </c:pt>
                <c:pt idx="12">
                  <c:v>1534.970871</c:v>
                </c:pt>
                <c:pt idx="13">
                  <c:v>1553.918085</c:v>
                </c:pt>
                <c:pt idx="14">
                  <c:v>1572.600936</c:v>
                </c:pt>
                <c:pt idx="15">
                  <c:v>1590.920808</c:v>
                </c:pt>
              </c:numCache>
            </c:numRef>
          </c:val>
          <c:smooth val="0"/>
        </c:ser>
        <c:ser>
          <c:idx val="3"/>
          <c:order val="2"/>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'Demand-Supply Balance'!$AA$10:$AP$10</c:f>
              <c:numCache>
                <c:formatCode>General</c:formatCode>
                <c:ptCount val="16"/>
                <c:pt idx="0">
                  <c:v>1311.050527</c:v>
                </c:pt>
                <c:pt idx="1">
                  <c:v>1325.271404</c:v>
                </c:pt>
                <c:pt idx="2">
                  <c:v>1338.780549</c:v>
                </c:pt>
                <c:pt idx="3">
                  <c:v>1351.624365</c:v>
                </c:pt>
                <c:pt idx="4">
                  <c:v>1363.88584</c:v>
                </c:pt>
                <c:pt idx="5">
                  <c:v>1375.626998</c:v>
                </c:pt>
                <c:pt idx="6">
                  <c:v>1386.863698</c:v>
                </c:pt>
                <c:pt idx="7">
                  <c:v>1397.57716</c:v>
                </c:pt>
                <c:pt idx="8">
                  <c:v>1407.757152</c:v>
                </c:pt>
                <c:pt idx="9">
                  <c:v>1417.3847</c:v>
                </c:pt>
                <c:pt idx="10">
                  <c:v>1426.453674</c:v>
                </c:pt>
                <c:pt idx="11">
                  <c:v>1434.956744</c:v>
                </c:pt>
                <c:pt idx="12">
                  <c:v>1442.922797</c:v>
                </c:pt>
                <c:pt idx="13">
                  <c:v>1450.425099</c:v>
                </c:pt>
                <c:pt idx="14">
                  <c:v>1457.559948</c:v>
                </c:pt>
                <c:pt idx="15">
                  <c:v>1464.395114</c:v>
                </c:pt>
              </c:numCache>
            </c:numRef>
          </c:val>
          <c:smooth val="0"/>
        </c:ser>
        <c:dLbls>
          <c:showLegendKey val="0"/>
          <c:showVal val="0"/>
          <c:showCatName val="0"/>
          <c:showSerName val="0"/>
          <c:showPercent val="0"/>
          <c:showBubbleSize val="0"/>
        </c:dLbls>
        <c:smooth val="0"/>
        <c:axId val="-2072507664"/>
        <c:axId val="-2106729296"/>
      </c:lineChart>
      <c:catAx>
        <c:axId val="-20725076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729296"/>
        <c:crosses val="autoZero"/>
        <c:auto val="1"/>
        <c:lblAlgn val="ctr"/>
        <c:lblOffset val="100"/>
        <c:noMultiLvlLbl val="0"/>
      </c:catAx>
      <c:valAx>
        <c:axId val="-21067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0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Coal</c:v>
          </c:tx>
          <c:marker>
            <c:symbol val="none"/>
          </c:marker>
          <c:trendline>
            <c:trendlineType val="linear"/>
            <c:dispRSqr val="0"/>
            <c:dispEq val="0"/>
          </c:trendline>
          <c:cat>
            <c:numRef>
              <c:f>'relative attractiveness'!$B$1:$AA$1</c:f>
              <c:numCache>
                <c:formatCode>0</c:formatCode>
                <c:ptCount val="26"/>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numCache>
            </c:numRef>
          </c:cat>
          <c:val>
            <c:numRef>
              <c:f>'relative attractiveness'!$B$17:$AA$17</c:f>
              <c:numCache>
                <c:formatCode>General</c:formatCode>
                <c:ptCount val="26"/>
                <c:pt idx="0">
                  <c:v>1.777416983212842</c:v>
                </c:pt>
                <c:pt idx="1">
                  <c:v>1.735070734048324</c:v>
                </c:pt>
                <c:pt idx="2">
                  <c:v>1.643582963659011</c:v>
                </c:pt>
                <c:pt idx="3">
                  <c:v>1.654200122082922</c:v>
                </c:pt>
                <c:pt idx="4">
                  <c:v>1.655262685111516</c:v>
                </c:pt>
                <c:pt idx="5">
                  <c:v>1.474995246244533</c:v>
                </c:pt>
                <c:pt idx="6">
                  <c:v>1.755475814554327</c:v>
                </c:pt>
                <c:pt idx="7">
                  <c:v>2.03227477752042</c:v>
                </c:pt>
                <c:pt idx="8">
                  <c:v>2.146965363838576</c:v>
                </c:pt>
                <c:pt idx="9">
                  <c:v>2.018269137164552</c:v>
                </c:pt>
                <c:pt idx="10">
                  <c:v>2.091686961100507</c:v>
                </c:pt>
                <c:pt idx="11">
                  <c:v>1.600765009146849</c:v>
                </c:pt>
                <c:pt idx="12">
                  <c:v>1.888512266335537</c:v>
                </c:pt>
                <c:pt idx="13">
                  <c:v>1.418010343778521</c:v>
                </c:pt>
                <c:pt idx="14">
                  <c:v>1.094205607476635</c:v>
                </c:pt>
                <c:pt idx="15">
                  <c:v>0.944158456346095</c:v>
                </c:pt>
                <c:pt idx="16">
                  <c:v>1.635006830601093</c:v>
                </c:pt>
                <c:pt idx="17">
                  <c:v>2.340890467085496</c:v>
                </c:pt>
                <c:pt idx="18">
                  <c:v>1.019996570056594</c:v>
                </c:pt>
                <c:pt idx="19">
                  <c:v>2.096866096866096</c:v>
                </c:pt>
                <c:pt idx="20">
                  <c:v>2.497390973147972</c:v>
                </c:pt>
                <c:pt idx="21">
                  <c:v>2.673708100558659</c:v>
                </c:pt>
                <c:pt idx="22">
                  <c:v>3.866459305339554</c:v>
                </c:pt>
                <c:pt idx="23">
                  <c:v>3.39288907589544</c:v>
                </c:pt>
                <c:pt idx="24">
                  <c:v>3.78826918041372</c:v>
                </c:pt>
                <c:pt idx="25">
                  <c:v>4.259891643408307</c:v>
                </c:pt>
              </c:numCache>
            </c:numRef>
          </c:val>
          <c:smooth val="0"/>
        </c:ser>
        <c:ser>
          <c:idx val="1"/>
          <c:order val="1"/>
          <c:tx>
            <c:v>Gas</c:v>
          </c:tx>
          <c:marker>
            <c:symbol val="none"/>
          </c:marker>
          <c:cat>
            <c:numRef>
              <c:f>'relative attractiveness'!$B$1:$AA$1</c:f>
              <c:numCache>
                <c:formatCode>0</c:formatCode>
                <c:ptCount val="26"/>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numCache>
            </c:numRef>
          </c:cat>
          <c:val>
            <c:numRef>
              <c:f>'relative attractiveness'!$B$18:$AA$18</c:f>
              <c:numCache>
                <c:formatCode>General</c:formatCode>
                <c:ptCount val="26"/>
                <c:pt idx="0">
                  <c:v>0.462041091276524</c:v>
                </c:pt>
                <c:pt idx="1">
                  <c:v>1.087826929286406</c:v>
                </c:pt>
                <c:pt idx="2">
                  <c:v>1.272789115646258</c:v>
                </c:pt>
                <c:pt idx="3">
                  <c:v>1.133709648968072</c:v>
                </c:pt>
                <c:pt idx="4">
                  <c:v>0.601443598925694</c:v>
                </c:pt>
                <c:pt idx="5">
                  <c:v>0.926305015353122</c:v>
                </c:pt>
                <c:pt idx="6">
                  <c:v>0.928907229419139</c:v>
                </c:pt>
                <c:pt idx="7">
                  <c:v>1.31176139561058</c:v>
                </c:pt>
                <c:pt idx="8">
                  <c:v>1.310268307444018</c:v>
                </c:pt>
                <c:pt idx="9">
                  <c:v>1.190917239318793</c:v>
                </c:pt>
                <c:pt idx="10">
                  <c:v>1.203002707359094</c:v>
                </c:pt>
                <c:pt idx="11">
                  <c:v>0.901807904098241</c:v>
                </c:pt>
                <c:pt idx="12">
                  <c:v>0.509683651291958</c:v>
                </c:pt>
                <c:pt idx="13">
                  <c:v>0.376970626287795</c:v>
                </c:pt>
                <c:pt idx="14">
                  <c:v>0.287291240424418</c:v>
                </c:pt>
                <c:pt idx="15">
                  <c:v>0.245567585456952</c:v>
                </c:pt>
                <c:pt idx="16">
                  <c:v>0.422037324307808</c:v>
                </c:pt>
                <c:pt idx="17">
                  <c:v>0.433835219302347</c:v>
                </c:pt>
                <c:pt idx="18">
                  <c:v>0.108219242091491</c:v>
                </c:pt>
                <c:pt idx="19">
                  <c:v>0.629727187206021</c:v>
                </c:pt>
                <c:pt idx="20">
                  <c:v>0.144530647896008</c:v>
                </c:pt>
                <c:pt idx="21">
                  <c:v>0.092480806423255</c:v>
                </c:pt>
                <c:pt idx="22">
                  <c:v>0.326040444475119</c:v>
                </c:pt>
                <c:pt idx="23">
                  <c:v>0.333310075355847</c:v>
                </c:pt>
                <c:pt idx="24">
                  <c:v>0.221604337550396</c:v>
                </c:pt>
                <c:pt idx="25">
                  <c:v>0.150672971989814</c:v>
                </c:pt>
              </c:numCache>
            </c:numRef>
          </c:val>
          <c:smooth val="0"/>
        </c:ser>
        <c:ser>
          <c:idx val="2"/>
          <c:order val="2"/>
          <c:tx>
            <c:v>Wind</c:v>
          </c:tx>
          <c:marker>
            <c:symbol val="none"/>
          </c:marker>
          <c:cat>
            <c:numRef>
              <c:f>'relative attractiveness'!$B$1:$AA$1</c:f>
              <c:numCache>
                <c:formatCode>0</c:formatCode>
                <c:ptCount val="26"/>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numCache>
            </c:numRef>
          </c:cat>
          <c:val>
            <c:numRef>
              <c:f>'relative attractiveness'!$B$19:$AA$19</c:f>
              <c:numCache>
                <c:formatCode>General</c:formatCode>
                <c:ptCount val="26"/>
                <c:pt idx="0">
                  <c:v>0.299705593719333</c:v>
                </c:pt>
                <c:pt idx="1">
                  <c:v>0.0</c:v>
                </c:pt>
                <c:pt idx="2">
                  <c:v>0.195120819999072</c:v>
                </c:pt>
                <c:pt idx="3">
                  <c:v>0.447000392105607</c:v>
                </c:pt>
                <c:pt idx="4">
                  <c:v>1.009665579119086</c:v>
                </c:pt>
                <c:pt idx="5">
                  <c:v>1.123964986988408</c:v>
                </c:pt>
                <c:pt idx="6">
                  <c:v>0.80486779764634</c:v>
                </c:pt>
                <c:pt idx="7">
                  <c:v>0.282986175115207</c:v>
                </c:pt>
                <c:pt idx="8">
                  <c:v>0.23257908769907</c:v>
                </c:pt>
                <c:pt idx="9">
                  <c:v>0.487228950094667</c:v>
                </c:pt>
                <c:pt idx="10">
                  <c:v>0.427137824276716</c:v>
                </c:pt>
                <c:pt idx="11">
                  <c:v>1.184991831806236</c:v>
                </c:pt>
                <c:pt idx="12">
                  <c:v>1.1770027673313</c:v>
                </c:pt>
                <c:pt idx="13">
                  <c:v>1.780016316106835</c:v>
                </c:pt>
                <c:pt idx="14">
                  <c:v>2.191958265313365</c:v>
                </c:pt>
                <c:pt idx="15">
                  <c:v>2.382141841955656</c:v>
                </c:pt>
                <c:pt idx="16">
                  <c:v>1.535824879871863</c:v>
                </c:pt>
                <c:pt idx="17">
                  <c:v>0.790777357413092</c:v>
                </c:pt>
                <c:pt idx="18">
                  <c:v>2.417835029535264</c:v>
                </c:pt>
                <c:pt idx="19">
                  <c:v>0.919139361552524</c:v>
                </c:pt>
                <c:pt idx="20">
                  <c:v>0.951573405167136</c:v>
                </c:pt>
                <c:pt idx="21">
                  <c:v>0.750894139146325</c:v>
                </c:pt>
                <c:pt idx="22">
                  <c:v>0.295840484147773</c:v>
                </c:pt>
                <c:pt idx="23">
                  <c:v>0.521395607316307</c:v>
                </c:pt>
                <c:pt idx="24">
                  <c:v>0.420218349779551</c:v>
                </c:pt>
                <c:pt idx="25">
                  <c:v>0.314601482251983</c:v>
                </c:pt>
              </c:numCache>
            </c:numRef>
          </c:val>
          <c:smooth val="0"/>
        </c:ser>
        <c:ser>
          <c:idx val="3"/>
          <c:order val="3"/>
          <c:tx>
            <c:v>Solar</c:v>
          </c:tx>
          <c:marker>
            <c:symbol val="none"/>
          </c:marker>
          <c:cat>
            <c:numRef>
              <c:f>'relative attractiveness'!$B$1:$AA$1</c:f>
              <c:numCache>
                <c:formatCode>0</c:formatCode>
                <c:ptCount val="26"/>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numCache>
            </c:numRef>
          </c:cat>
          <c:val>
            <c:numRef>
              <c:f>'relative attractiveness'!$B$20:$AA$20</c:f>
              <c:numCache>
                <c:formatCode>General</c:formatCode>
                <c:ptCount val="26"/>
                <c:pt idx="0">
                  <c:v>0.0</c:v>
                </c:pt>
                <c:pt idx="1">
                  <c:v>0.0</c:v>
                </c:pt>
                <c:pt idx="2">
                  <c:v>0.0</c:v>
                </c:pt>
                <c:pt idx="3">
                  <c:v>0.0</c:v>
                </c:pt>
                <c:pt idx="4">
                  <c:v>0.0</c:v>
                </c:pt>
                <c:pt idx="5">
                  <c:v>0.0</c:v>
                </c:pt>
                <c:pt idx="6">
                  <c:v>0.0</c:v>
                </c:pt>
                <c:pt idx="7">
                  <c:v>0.0</c:v>
                </c:pt>
                <c:pt idx="8">
                  <c:v>0.0</c:v>
                </c:pt>
                <c:pt idx="9">
                  <c:v>0.0117970341592836</c:v>
                </c:pt>
                <c:pt idx="10">
                  <c:v>0.0</c:v>
                </c:pt>
                <c:pt idx="11">
                  <c:v>0.0</c:v>
                </c:pt>
                <c:pt idx="12">
                  <c:v>0.0</c:v>
                </c:pt>
                <c:pt idx="13">
                  <c:v>0.0</c:v>
                </c:pt>
                <c:pt idx="14">
                  <c:v>0.0</c:v>
                </c:pt>
                <c:pt idx="15">
                  <c:v>0.00322837224535629</c:v>
                </c:pt>
                <c:pt idx="16">
                  <c:v>0.0</c:v>
                </c:pt>
                <c:pt idx="17">
                  <c:v>0.000281584381452975</c:v>
                </c:pt>
                <c:pt idx="18">
                  <c:v>0.0</c:v>
                </c:pt>
                <c:pt idx="19">
                  <c:v>0.00543857202621671</c:v>
                </c:pt>
                <c:pt idx="20">
                  <c:v>0.0246125375896368</c:v>
                </c:pt>
                <c:pt idx="21">
                  <c:v>0.386676488191151</c:v>
                </c:pt>
                <c:pt idx="22">
                  <c:v>0.346036376897479</c:v>
                </c:pt>
                <c:pt idx="23">
                  <c:v>0.361524457812253</c:v>
                </c:pt>
                <c:pt idx="24">
                  <c:v>0.297835650184762</c:v>
                </c:pt>
                <c:pt idx="25">
                  <c:v>0.270590625846654</c:v>
                </c:pt>
              </c:numCache>
            </c:numRef>
          </c:val>
          <c:smooth val="0"/>
        </c:ser>
        <c:dLbls>
          <c:showLegendKey val="0"/>
          <c:showVal val="0"/>
          <c:showCatName val="0"/>
          <c:showSerName val="0"/>
          <c:showPercent val="0"/>
          <c:showBubbleSize val="0"/>
        </c:dLbls>
        <c:smooth val="0"/>
        <c:axId val="2134267120"/>
        <c:axId val="2134905488"/>
      </c:lineChart>
      <c:catAx>
        <c:axId val="2134267120"/>
        <c:scaling>
          <c:orientation val="minMax"/>
        </c:scaling>
        <c:delete val="0"/>
        <c:axPos val="b"/>
        <c:numFmt formatCode="0" sourceLinked="1"/>
        <c:majorTickMark val="out"/>
        <c:minorTickMark val="none"/>
        <c:tickLblPos val="nextTo"/>
        <c:crossAx val="2134905488"/>
        <c:crosses val="autoZero"/>
        <c:auto val="1"/>
        <c:lblAlgn val="ctr"/>
        <c:lblOffset val="100"/>
        <c:noMultiLvlLbl val="0"/>
      </c:catAx>
      <c:valAx>
        <c:axId val="2134905488"/>
        <c:scaling>
          <c:orientation val="minMax"/>
        </c:scaling>
        <c:delete val="0"/>
        <c:axPos val="l"/>
        <c:majorGridlines/>
        <c:numFmt formatCode="General" sourceLinked="1"/>
        <c:majorTickMark val="out"/>
        <c:minorTickMark val="none"/>
        <c:tickLblPos val="nextTo"/>
        <c:crossAx val="2134267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v>series 3</c:v>
          </c:tx>
          <c:marker>
            <c:symbol val="none"/>
          </c:marker>
          <c:val>
            <c:numRef>
              <c:f>PublicPrivate!$B$16:$AP$16</c:f>
              <c:numCache>
                <c:formatCode>General</c:formatCode>
                <c:ptCount val="41"/>
                <c:pt idx="0">
                  <c:v>2.092788091539E11</c:v>
                </c:pt>
                <c:pt idx="1">
                  <c:v>2.22924980050698E11</c:v>
                </c:pt>
                <c:pt idx="2">
                  <c:v>2.38148642400284E11</c:v>
                </c:pt>
                <c:pt idx="3">
                  <c:v>2.54315845049325E11</c:v>
                </c:pt>
                <c:pt idx="4">
                  <c:v>2.70794483686498E11</c:v>
                </c:pt>
                <c:pt idx="5">
                  <c:v>2.86816153438937E11</c:v>
                </c:pt>
                <c:pt idx="6">
                  <c:v>3.02240018847572E11</c:v>
                </c:pt>
                <c:pt idx="7">
                  <c:v>3.18099133655974E11</c:v>
                </c:pt>
                <c:pt idx="8">
                  <c:v>3.35221179288943E11</c:v>
                </c:pt>
                <c:pt idx="9">
                  <c:v>3.54245044821397E11</c:v>
                </c:pt>
                <c:pt idx="10">
                  <c:v>3.75657553231143E11</c:v>
                </c:pt>
                <c:pt idx="11">
                  <c:v>3.99677314721061E11</c:v>
                </c:pt>
                <c:pt idx="12">
                  <c:v>4.26297433049033E11</c:v>
                </c:pt>
                <c:pt idx="13">
                  <c:v>4.55265498079727E11</c:v>
                </c:pt>
                <c:pt idx="14">
                  <c:v>4.86178918299252E11</c:v>
                </c:pt>
                <c:pt idx="15">
                  <c:v>5.18433719107349E11</c:v>
                </c:pt>
                <c:pt idx="16">
                  <c:v>5.51674545242884E11</c:v>
                </c:pt>
                <c:pt idx="17">
                  <c:v>5.85936377846251E11</c:v>
                </c:pt>
                <c:pt idx="18">
                  <c:v>6.21618726610017E11</c:v>
                </c:pt>
                <c:pt idx="19">
                  <c:v>6.59278782122349E11</c:v>
                </c:pt>
                <c:pt idx="20">
                  <c:v>6.84E11</c:v>
                </c:pt>
                <c:pt idx="21">
                  <c:v>7.857E11</c:v>
                </c:pt>
                <c:pt idx="22">
                  <c:v>7.6365E11</c:v>
                </c:pt>
                <c:pt idx="23">
                  <c:v>7.731E11</c:v>
                </c:pt>
                <c:pt idx="24">
                  <c:v>8.0415E11</c:v>
                </c:pt>
                <c:pt idx="25">
                  <c:v>8.6085E11</c:v>
                </c:pt>
                <c:pt idx="26">
                  <c:v>9.567E11</c:v>
                </c:pt>
                <c:pt idx="27">
                  <c:v>1.08045E12</c:v>
                </c:pt>
                <c:pt idx="28">
                  <c:v>1.1871E12</c:v>
                </c:pt>
                <c:pt idx="29">
                  <c:v>1.27485E12</c:v>
                </c:pt>
                <c:pt idx="30">
                  <c:v>1.3437E12</c:v>
                </c:pt>
                <c:pt idx="31">
                  <c:v>1.39455E12</c:v>
                </c:pt>
                <c:pt idx="32">
                  <c:v>1.4355E12</c:v>
                </c:pt>
                <c:pt idx="33">
                  <c:v>1.47465E12</c:v>
                </c:pt>
                <c:pt idx="34">
                  <c:v>1.5219E12</c:v>
                </c:pt>
                <c:pt idx="35">
                  <c:v>1.58445E12</c:v>
                </c:pt>
                <c:pt idx="36">
                  <c:v>1.6731E12</c:v>
                </c:pt>
                <c:pt idx="37">
                  <c:v>1.7838E12</c:v>
                </c:pt>
                <c:pt idx="38">
                  <c:v>1.9062E12</c:v>
                </c:pt>
                <c:pt idx="39">
                  <c:v>2.0277E12</c:v>
                </c:pt>
                <c:pt idx="40">
                  <c:v>2.1402E12</c:v>
                </c:pt>
              </c:numCache>
            </c:numRef>
          </c:val>
          <c:smooth val="0"/>
        </c:ser>
        <c:ser>
          <c:idx val="3"/>
          <c:order val="1"/>
          <c:tx>
            <c:v>series 4</c:v>
          </c:tx>
          <c:marker>
            <c:symbol val="none"/>
          </c:marker>
          <c:val>
            <c:numRef>
              <c:f>PublicPrivate!$B$22:$AP$22</c:f>
              <c:numCache>
                <c:formatCode>General</c:formatCode>
                <c:ptCount val="41"/>
                <c:pt idx="0">
                  <c:v>5.91260210563083E10</c:v>
                </c:pt>
                <c:pt idx="1">
                  <c:v>6.27076924458147E10</c:v>
                </c:pt>
                <c:pt idx="2">
                  <c:v>6.66654467694458E10</c:v>
                </c:pt>
                <c:pt idx="3">
                  <c:v>7.08034150242675E10</c:v>
                </c:pt>
                <c:pt idx="4">
                  <c:v>7.49517521470325E10</c:v>
                </c:pt>
                <c:pt idx="5">
                  <c:v>7.8904884690095E10</c:v>
                </c:pt>
                <c:pt idx="6">
                  <c:v>8.26456634504816E10</c:v>
                </c:pt>
                <c:pt idx="7">
                  <c:v>8.64690006880537E10</c:v>
                </c:pt>
                <c:pt idx="8">
                  <c:v>9.05955122951772E10</c:v>
                </c:pt>
                <c:pt idx="9">
                  <c:v>9.52096013746751E10</c:v>
                </c:pt>
                <c:pt idx="10">
                  <c:v>1.00445517079372E11</c:v>
                </c:pt>
                <c:pt idx="11">
                  <c:v>1.06368345056078E11</c:v>
                </c:pt>
                <c:pt idx="12">
                  <c:v>1.12967615207147E11</c:v>
                </c:pt>
                <c:pt idx="13">
                  <c:v>1.20174938678013E11</c:v>
                </c:pt>
                <c:pt idx="14">
                  <c:v>1.27876118725955E11</c:v>
                </c:pt>
                <c:pt idx="15">
                  <c:v>1.35947958878342E11</c:v>
                </c:pt>
                <c:pt idx="16">
                  <c:v>1.44292492358049E11</c:v>
                </c:pt>
                <c:pt idx="17">
                  <c:v>1.52901376815357E11</c:v>
                </c:pt>
                <c:pt idx="18">
                  <c:v>1.61868200648344E11</c:v>
                </c:pt>
                <c:pt idx="19">
                  <c:v>1.71337874717932E11</c:v>
                </c:pt>
                <c:pt idx="20">
                  <c:v>1.71E11</c:v>
                </c:pt>
                <c:pt idx="21">
                  <c:v>1.95975E11</c:v>
                </c:pt>
                <c:pt idx="22">
                  <c:v>1.9035E11</c:v>
                </c:pt>
                <c:pt idx="23">
                  <c:v>1.9224E11</c:v>
                </c:pt>
                <c:pt idx="24">
                  <c:v>2.00025E11</c:v>
                </c:pt>
                <c:pt idx="25">
                  <c:v>2.14065E11</c:v>
                </c:pt>
                <c:pt idx="26">
                  <c:v>2.3778E11</c:v>
                </c:pt>
                <c:pt idx="27">
                  <c:v>2.67885E11</c:v>
                </c:pt>
                <c:pt idx="28">
                  <c:v>2.9331E11</c:v>
                </c:pt>
                <c:pt idx="29">
                  <c:v>3.14055E11</c:v>
                </c:pt>
                <c:pt idx="30">
                  <c:v>3.29355E11</c:v>
                </c:pt>
                <c:pt idx="31">
                  <c:v>3.3957E11</c:v>
                </c:pt>
                <c:pt idx="32">
                  <c:v>3.46455E11</c:v>
                </c:pt>
                <c:pt idx="33">
                  <c:v>3.52485E11</c:v>
                </c:pt>
                <c:pt idx="34">
                  <c:v>3.5973E11</c:v>
                </c:pt>
                <c:pt idx="35">
                  <c:v>3.6999E11</c:v>
                </c:pt>
                <c:pt idx="36">
                  <c:v>3.8403E11</c:v>
                </c:pt>
                <c:pt idx="37">
                  <c:v>4.0167E11</c:v>
                </c:pt>
                <c:pt idx="38">
                  <c:v>4.2057E11</c:v>
                </c:pt>
                <c:pt idx="39">
                  <c:v>4.37445E11</c:v>
                </c:pt>
                <c:pt idx="40">
                  <c:v>4.5E11</c:v>
                </c:pt>
              </c:numCache>
            </c:numRef>
          </c:val>
          <c:smooth val="0"/>
        </c:ser>
        <c:dLbls>
          <c:showLegendKey val="0"/>
          <c:showVal val="0"/>
          <c:showCatName val="0"/>
          <c:showSerName val="0"/>
          <c:showPercent val="0"/>
          <c:showBubbleSize val="0"/>
        </c:dLbls>
        <c:smooth val="0"/>
        <c:axId val="2136540000"/>
        <c:axId val="2136542784"/>
      </c:lineChart>
      <c:catAx>
        <c:axId val="2136540000"/>
        <c:scaling>
          <c:orientation val="minMax"/>
        </c:scaling>
        <c:delete val="0"/>
        <c:axPos val="b"/>
        <c:majorTickMark val="out"/>
        <c:minorTickMark val="none"/>
        <c:tickLblPos val="nextTo"/>
        <c:crossAx val="2136542784"/>
        <c:crosses val="autoZero"/>
        <c:auto val="1"/>
        <c:lblAlgn val="ctr"/>
        <c:lblOffset val="100"/>
        <c:noMultiLvlLbl val="0"/>
      </c:catAx>
      <c:valAx>
        <c:axId val="2136542784"/>
        <c:scaling>
          <c:orientation val="minMax"/>
        </c:scaling>
        <c:delete val="0"/>
        <c:axPos val="l"/>
        <c:majorGridlines/>
        <c:numFmt formatCode="General" sourceLinked="1"/>
        <c:majorTickMark val="out"/>
        <c:minorTickMark val="none"/>
        <c:tickLblPos val="nextTo"/>
        <c:crossAx val="213654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27</xdr:col>
      <xdr:colOff>25400</xdr:colOff>
      <xdr:row>15</xdr:row>
      <xdr:rowOff>101600</xdr:rowOff>
    </xdr:from>
    <xdr:to>
      <xdr:col>38</xdr:col>
      <xdr:colOff>12700</xdr:colOff>
      <xdr:row>37</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508696</xdr:colOff>
      <xdr:row>42</xdr:row>
      <xdr:rowOff>57148</xdr:rowOff>
    </xdr:from>
    <xdr:to>
      <xdr:col>23</xdr:col>
      <xdr:colOff>491949</xdr:colOff>
      <xdr:row>74</xdr:row>
      <xdr:rowOff>157005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638174</xdr:colOff>
      <xdr:row>29</xdr:row>
      <xdr:rowOff>190499</xdr:rowOff>
    </xdr:from>
    <xdr:to>
      <xdr:col>22</xdr:col>
      <xdr:colOff>485775</xdr:colOff>
      <xdr:row>62</xdr:row>
      <xdr:rowOff>104774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
  <sheetViews>
    <sheetView topLeftCell="P1" workbookViewId="0">
      <selection activeCell="AB2" sqref="AB2:AP6"/>
    </sheetView>
  </sheetViews>
  <sheetFormatPr baseColWidth="10" defaultColWidth="8.83203125" defaultRowHeight="15" x14ac:dyDescent="0.2"/>
  <cols>
    <col min="1" max="1" width="13" customWidth="1"/>
    <col min="2" max="3" width="11.5" customWidth="1"/>
    <col min="4" max="4" width="13.6640625" customWidth="1"/>
  </cols>
  <sheetData>
    <row r="1" spans="1:42" x14ac:dyDescent="0.2">
      <c r="A1" s="3"/>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s="1" t="s">
        <v>0</v>
      </c>
      <c r="B2" s="4">
        <f>TREND(C2:D2,C1:D1,B1,TRUE)</f>
        <v>0.12500000000001421</v>
      </c>
      <c r="C2" s="4">
        <f>TREND(D2:E2,D1:E1,C1,TRUE)</f>
        <v>0.14300000000000779</v>
      </c>
      <c r="D2" s="5">
        <v>0.161</v>
      </c>
      <c r="E2" s="6">
        <v>0.17899999999999999</v>
      </c>
      <c r="F2" s="7">
        <v>0.188</v>
      </c>
      <c r="G2" s="7">
        <v>0.19</v>
      </c>
      <c r="H2" s="7">
        <v>0.21099999999999999</v>
      </c>
      <c r="I2" s="7">
        <v>0.20219999999999999</v>
      </c>
      <c r="J2" s="7">
        <v>0.20619999999999999</v>
      </c>
      <c r="K2" s="7">
        <v>0.2109</v>
      </c>
      <c r="L2" s="7">
        <v>0.2848</v>
      </c>
      <c r="M2" s="8">
        <f>L2+($S2-$L2)/7</f>
        <v>0.35492857142857143</v>
      </c>
      <c r="N2" s="8">
        <f t="shared" ref="N2:R2" si="0">M2+($S2-$L2)/7</f>
        <v>0.42505714285714286</v>
      </c>
      <c r="O2" s="8">
        <f t="shared" si="0"/>
        <v>0.49518571428571428</v>
      </c>
      <c r="P2" s="8">
        <f t="shared" si="0"/>
        <v>0.56531428571428566</v>
      </c>
      <c r="Q2" s="8">
        <f t="shared" si="0"/>
        <v>0.63544285714285709</v>
      </c>
      <c r="R2" s="8">
        <f t="shared" si="0"/>
        <v>0.70557142857142852</v>
      </c>
      <c r="S2" s="6">
        <v>0.77569999999999995</v>
      </c>
      <c r="T2" s="6">
        <v>0.94730000000000003</v>
      </c>
      <c r="U2" s="6">
        <v>1.0155000000000001</v>
      </c>
      <c r="V2" s="6">
        <v>1.3813</v>
      </c>
      <c r="W2" s="6">
        <v>1.4363999999999999</v>
      </c>
      <c r="X2" s="6">
        <v>1.6538999999999999</v>
      </c>
      <c r="Y2" s="6">
        <v>1.8306</v>
      </c>
      <c r="Z2" s="8">
        <f>TREND(X2:Y2,X1:Y1,Z1,TRUE)</f>
        <v>2.0073000000000434</v>
      </c>
      <c r="AA2" s="8">
        <f>TREND(Y2:Z2,Y1:Z1,AA1,TRUE)</f>
        <v>2.1840000000000828</v>
      </c>
      <c r="AB2" s="28">
        <f>GROWTH(B2:AA2,B1:AA1,AB1,TRUE)</f>
        <v>2.417651907437985</v>
      </c>
      <c r="AC2" s="28">
        <f t="shared" ref="AC2:AP2" si="1">GROWTH(C2:AB2,C1:AB1,AC1,TRUE)</f>
        <v>2.7700949013998484</v>
      </c>
      <c r="AD2" s="28">
        <f t="shared" si="1"/>
        <v>3.1904089792505173</v>
      </c>
      <c r="AE2" s="28">
        <f t="shared" si="1"/>
        <v>3.6914022980134193</v>
      </c>
      <c r="AF2" s="28">
        <f t="shared" si="1"/>
        <v>4.2881967645011292</v>
      </c>
      <c r="AG2" s="28">
        <f t="shared" si="1"/>
        <v>4.9782188954355968</v>
      </c>
      <c r="AH2" s="28">
        <f t="shared" si="1"/>
        <v>5.7504505348675625</v>
      </c>
      <c r="AI2" s="28">
        <f t="shared" si="1"/>
        <v>6.6495937263466249</v>
      </c>
      <c r="AJ2" s="28">
        <f t="shared" si="1"/>
        <v>7.5989050855137537</v>
      </c>
      <c r="AK2" s="28">
        <f t="shared" si="1"/>
        <v>8.5971196408793435</v>
      </c>
      <c r="AL2" s="28">
        <f t="shared" si="1"/>
        <v>9.6069380341891346</v>
      </c>
      <c r="AM2" s="28">
        <f t="shared" si="1"/>
        <v>10.829618388023992</v>
      </c>
      <c r="AN2" s="28">
        <f t="shared" si="1"/>
        <v>12.268091629430071</v>
      </c>
      <c r="AO2" s="28">
        <f t="shared" si="1"/>
        <v>13.941751694533917</v>
      </c>
      <c r="AP2" s="28">
        <f t="shared" si="1"/>
        <v>15.8721649179029</v>
      </c>
    </row>
    <row r="3" spans="1:42" x14ac:dyDescent="0.2">
      <c r="A3" s="1" t="s">
        <v>1</v>
      </c>
      <c r="B3" s="4">
        <f>TREND(C3:D3,C1:D1,B1,TRUE)</f>
        <v>1.1801000000000386</v>
      </c>
      <c r="C3" s="4">
        <f>TREND(D3:E3,D1:E1,C1,TRUE)</f>
        <v>1.447400000000016</v>
      </c>
      <c r="D3" s="5">
        <v>1.7146999999999999</v>
      </c>
      <c r="E3" s="6">
        <v>1.982</v>
      </c>
      <c r="F3" s="7">
        <v>2.2109999999999999</v>
      </c>
      <c r="G3" s="7">
        <v>2.4550000000000001</v>
      </c>
      <c r="H3" s="7">
        <v>2.8239999999999998</v>
      </c>
      <c r="I3" s="7">
        <v>2.8479999999999999</v>
      </c>
      <c r="J3" s="7">
        <v>2.9752999999999998</v>
      </c>
      <c r="K3" s="7">
        <v>3.4451999999999998</v>
      </c>
      <c r="L3" s="7">
        <v>3.5903999999999998</v>
      </c>
      <c r="M3" s="8">
        <f t="shared" ref="M3:R3" si="2">L3+($S3-$L3)/7</f>
        <v>3.6723571428571429</v>
      </c>
      <c r="N3" s="8">
        <f t="shared" si="2"/>
        <v>3.7543142857142859</v>
      </c>
      <c r="O3" s="8">
        <f t="shared" si="2"/>
        <v>3.836271428571429</v>
      </c>
      <c r="P3" s="8">
        <f t="shared" si="2"/>
        <v>3.9182285714285721</v>
      </c>
      <c r="Q3" s="8">
        <f t="shared" si="2"/>
        <v>4.0001857142857151</v>
      </c>
      <c r="R3" s="8">
        <f t="shared" si="2"/>
        <v>4.0821428571428582</v>
      </c>
      <c r="S3" s="6">
        <v>4.1641000000000004</v>
      </c>
      <c r="T3" s="6">
        <v>4.3273999999999999</v>
      </c>
      <c r="U3" s="6">
        <v>4.4999000000000002</v>
      </c>
      <c r="V3" s="6">
        <v>4.7782</v>
      </c>
      <c r="W3" s="6">
        <v>4.9710999999999999</v>
      </c>
      <c r="X3" s="6">
        <v>5.968</v>
      </c>
      <c r="Y3" s="6">
        <v>6.2588999999999997</v>
      </c>
      <c r="Z3" s="8">
        <f>TREND(X3:Y3,X1:Y1,Z1,TRUE)</f>
        <v>6.5498000000001184</v>
      </c>
      <c r="AA3" s="8">
        <f>TREND(Y3:Z3,Y1:Z1,AA1,TRUE)</f>
        <v>6.8407000000001972</v>
      </c>
      <c r="AB3" s="28">
        <f>GROWTH(B3:AA3,B1:AA1,AB1,TRUE)</f>
        <v>7.444654317548653</v>
      </c>
      <c r="AC3" s="28">
        <f t="shared" ref="AC3:AP3" si="3">GROWTH(C3:AB3,C1:AB1,AC1,TRUE)</f>
        <v>7.6360816283094826</v>
      </c>
      <c r="AD3" s="28">
        <f t="shared" si="3"/>
        <v>7.86770758592868</v>
      </c>
      <c r="AE3" s="28">
        <f t="shared" si="3"/>
        <v>8.1375953105800445</v>
      </c>
      <c r="AF3" s="28">
        <f t="shared" si="3"/>
        <v>8.4471511797482908</v>
      </c>
      <c r="AG3" s="28">
        <f t="shared" si="3"/>
        <v>8.7871466375752991</v>
      </c>
      <c r="AH3" s="28">
        <f t="shared" si="3"/>
        <v>9.1656949143619713</v>
      </c>
      <c r="AI3" s="28">
        <f t="shared" si="3"/>
        <v>9.625611423502777</v>
      </c>
      <c r="AJ3" s="28">
        <f t="shared" si="3"/>
        <v>10.082295348545133</v>
      </c>
      <c r="AK3" s="28">
        <f t="shared" si="3"/>
        <v>10.557028116094205</v>
      </c>
      <c r="AL3" s="28">
        <f t="shared" si="3"/>
        <v>11.147876703024895</v>
      </c>
      <c r="AM3" s="28">
        <f t="shared" si="3"/>
        <v>11.790618737284193</v>
      </c>
      <c r="AN3" s="28">
        <f t="shared" si="3"/>
        <v>12.471791068891241</v>
      </c>
      <c r="AO3" s="28">
        <f t="shared" si="3"/>
        <v>13.189347889715554</v>
      </c>
      <c r="AP3" s="28">
        <f t="shared" si="3"/>
        <v>13.93960732616314</v>
      </c>
    </row>
    <row r="4" spans="1:42" x14ac:dyDescent="0.2">
      <c r="A4" s="1" t="s">
        <v>2</v>
      </c>
      <c r="B4" s="4">
        <f>TREND(C4:D4,C1:D1,B1,TRUE)</f>
        <v>0.6320999999999799</v>
      </c>
      <c r="C4" s="4">
        <f>TREND(D4:E4,D1:E1,C1,TRUE)</f>
        <v>0.70239999999998304</v>
      </c>
      <c r="D4" s="5">
        <v>0.77270000000000005</v>
      </c>
      <c r="E4" s="6">
        <v>0.84299999999999997</v>
      </c>
      <c r="F4" s="7">
        <v>0.92800000000000005</v>
      </c>
      <c r="G4" s="7">
        <v>1.02</v>
      </c>
      <c r="H4" s="7">
        <v>1.1850000000000001</v>
      </c>
      <c r="I4" s="7">
        <v>1.339</v>
      </c>
      <c r="J4" s="7">
        <v>1.3109999999999999</v>
      </c>
      <c r="K4" s="7">
        <v>1.5781000000000001</v>
      </c>
      <c r="L4" s="7">
        <v>1.734</v>
      </c>
      <c r="M4" s="8">
        <f t="shared" ref="M4:R4" si="4">L4+($S4-$L4)/7</f>
        <v>1.8323285714285713</v>
      </c>
      <c r="N4" s="8">
        <f t="shared" si="4"/>
        <v>1.9306571428571426</v>
      </c>
      <c r="O4" s="8">
        <f t="shared" si="4"/>
        <v>2.0289857142857142</v>
      </c>
      <c r="P4" s="8">
        <f t="shared" si="4"/>
        <v>2.1273142857142857</v>
      </c>
      <c r="Q4" s="8">
        <f t="shared" si="4"/>
        <v>2.2256428571428573</v>
      </c>
      <c r="R4" s="8">
        <f t="shared" si="4"/>
        <v>2.3239714285714288</v>
      </c>
      <c r="S4" s="6">
        <v>2.4222999999999999</v>
      </c>
      <c r="T4" s="6">
        <v>2.5295999999999998</v>
      </c>
      <c r="U4" s="6">
        <v>2.7582</v>
      </c>
      <c r="V4" s="6">
        <v>3.0049000000000001</v>
      </c>
      <c r="W4" s="6">
        <v>3.2002999999999999</v>
      </c>
      <c r="X4" s="6">
        <v>3.5910000000000002</v>
      </c>
      <c r="Y4" s="6">
        <v>4.0784000000000002</v>
      </c>
      <c r="Z4" s="8">
        <f>TREND(X4:Y4,X1:Y1,Z1,TRUE)</f>
        <v>4.5657999999999674</v>
      </c>
      <c r="AA4" s="8">
        <f>TREND(Y4:Z4,Y1:Z1,AA1,TRUE)</f>
        <v>5.0531999999999471</v>
      </c>
      <c r="AB4" s="28">
        <f>GROWTH(B4:AA4,B1:AA1,AB1,TRUE)</f>
        <v>5.11778568894941</v>
      </c>
      <c r="AC4" s="28">
        <f t="shared" ref="AC4:AP4" si="5">GROWTH(C4:AB4,C1:AB1,AC1,TRUE)</f>
        <v>5.469702360940718</v>
      </c>
      <c r="AD4" s="28">
        <f t="shared" si="5"/>
        <v>5.8458824452026077</v>
      </c>
      <c r="AE4" s="28">
        <f t="shared" si="5"/>
        <v>6.2448419195084259</v>
      </c>
      <c r="AF4" s="28">
        <f t="shared" si="5"/>
        <v>6.6642225246392481</v>
      </c>
      <c r="AG4" s="28">
        <f t="shared" si="5"/>
        <v>7.1102805366998991</v>
      </c>
      <c r="AH4" s="28">
        <f t="shared" si="5"/>
        <v>7.5855346284921605</v>
      </c>
      <c r="AI4" s="28">
        <f t="shared" si="5"/>
        <v>8.1326980083948648</v>
      </c>
      <c r="AJ4" s="28">
        <f t="shared" si="5"/>
        <v>8.7551934585703606</v>
      </c>
      <c r="AK4" s="28">
        <f t="shared" si="5"/>
        <v>9.3584110256875235</v>
      </c>
      <c r="AL4" s="28">
        <f t="shared" si="5"/>
        <v>10.090578977492518</v>
      </c>
      <c r="AM4" s="28">
        <f t="shared" si="5"/>
        <v>10.915708108696156</v>
      </c>
      <c r="AN4" s="28">
        <f t="shared" si="5"/>
        <v>11.815248187442956</v>
      </c>
      <c r="AO4" s="28">
        <f t="shared" si="5"/>
        <v>12.791640629810418</v>
      </c>
      <c r="AP4" s="28">
        <f t="shared" si="5"/>
        <v>13.845583530645074</v>
      </c>
    </row>
    <row r="5" spans="1:42" x14ac:dyDescent="0.2">
      <c r="A5" s="2" t="s">
        <v>3</v>
      </c>
      <c r="B5" s="4">
        <f>TREND(C5:D5,C1:D1,B1,TRUE)</f>
        <v>1.2321000000000026</v>
      </c>
      <c r="C5" s="4">
        <f>TREND(D5:E5,D1:E1,C1,TRUE)</f>
        <v>1.4424000000000206</v>
      </c>
      <c r="D5" s="9">
        <v>1.6527000000000001</v>
      </c>
      <c r="E5" s="6">
        <v>1.863</v>
      </c>
      <c r="F5" s="7">
        <v>2.08</v>
      </c>
      <c r="G5" s="7">
        <v>2.4950000000000001</v>
      </c>
      <c r="H5" s="7">
        <v>2.915</v>
      </c>
      <c r="I5" s="7">
        <v>3.3330000000000002</v>
      </c>
      <c r="J5" s="7">
        <v>3.4529000000000001</v>
      </c>
      <c r="K5" s="7">
        <v>3.5485000000000002</v>
      </c>
      <c r="L5" s="7">
        <v>3.4043000000000001</v>
      </c>
      <c r="M5" s="8">
        <f t="shared" ref="M5:R5" si="6">L5+($S5-$L5)/7</f>
        <v>3.6241714285714286</v>
      </c>
      <c r="N5" s="8">
        <f t="shared" si="6"/>
        <v>3.8440428571428571</v>
      </c>
      <c r="O5" s="8">
        <f t="shared" si="6"/>
        <v>4.0639142857142856</v>
      </c>
      <c r="P5" s="8">
        <f t="shared" si="6"/>
        <v>4.2837857142857141</v>
      </c>
      <c r="Q5" s="8">
        <f t="shared" si="6"/>
        <v>4.5036571428571426</v>
      </c>
      <c r="R5" s="8">
        <f t="shared" si="6"/>
        <v>4.7235285714285711</v>
      </c>
      <c r="S5" s="6">
        <v>4.9433999999999996</v>
      </c>
      <c r="T5" s="6">
        <v>5.0987999999999998</v>
      </c>
      <c r="U5" s="6">
        <v>5.2576000000000001</v>
      </c>
      <c r="V5" s="6">
        <v>5.6022999999999996</v>
      </c>
      <c r="W5" s="6">
        <v>5.8103999999999996</v>
      </c>
      <c r="X5" s="6">
        <v>7.5408999999999997</v>
      </c>
      <c r="Y5" s="6">
        <v>7.64</v>
      </c>
      <c r="Z5" s="8">
        <f>TREND(X5:Y5,X1:Y1,Z1,TRUE)</f>
        <v>7.7391000000000076</v>
      </c>
      <c r="AA5" s="8">
        <f>TREND(Y5:Z5,Y1:Z1,AA1,TRUE)</f>
        <v>7.8382000000000005</v>
      </c>
      <c r="AB5" s="28">
        <f>GROWTH(B5:AA5,B1:AA1,AB1,TRUE)</f>
        <v>9.1497806027020534</v>
      </c>
      <c r="AC5" s="28">
        <f t="shared" ref="AC5:AP5" si="7">GROWTH(C5:AB5,C1:AB1,AC1,TRUE)</f>
        <v>9.5304224172433258</v>
      </c>
      <c r="AD5" s="28">
        <f t="shared" si="7"/>
        <v>9.940207337110861</v>
      </c>
      <c r="AE5" s="28">
        <f t="shared" si="7"/>
        <v>10.37563018867133</v>
      </c>
      <c r="AF5" s="28">
        <f t="shared" si="7"/>
        <v>10.833953979688001</v>
      </c>
      <c r="AG5" s="28">
        <f t="shared" si="7"/>
        <v>11.315812593457665</v>
      </c>
      <c r="AH5" s="28">
        <f t="shared" si="7"/>
        <v>11.903724649054048</v>
      </c>
      <c r="AI5" s="28">
        <f t="shared" si="7"/>
        <v>12.613172996440268</v>
      </c>
      <c r="AJ5" s="28">
        <f t="shared" si="7"/>
        <v>13.46502665456509</v>
      </c>
      <c r="AK5" s="28">
        <f t="shared" si="7"/>
        <v>14.386122106395742</v>
      </c>
      <c r="AL5" s="28">
        <f t="shared" si="7"/>
        <v>15.369775574184619</v>
      </c>
      <c r="AM5" s="28">
        <f t="shared" si="7"/>
        <v>16.317241691329645</v>
      </c>
      <c r="AN5" s="28">
        <f t="shared" si="7"/>
        <v>17.334913602594916</v>
      </c>
      <c r="AO5" s="28">
        <f t="shared" si="7"/>
        <v>18.425146518951081</v>
      </c>
      <c r="AP5" s="28">
        <f t="shared" si="7"/>
        <v>19.589280978012358</v>
      </c>
    </row>
    <row r="6" spans="1:42" x14ac:dyDescent="0.2">
      <c r="A6" s="17" t="s">
        <v>81</v>
      </c>
      <c r="B6" s="28">
        <f>AVERAGE(B2:B5)</f>
        <v>0.79232500000000883</v>
      </c>
      <c r="C6" s="28">
        <f t="shared" ref="C6:AA6" si="8">AVERAGE(C2:C5)</f>
        <v>0.93380000000000685</v>
      </c>
      <c r="D6" s="28">
        <f t="shared" si="8"/>
        <v>1.075275</v>
      </c>
      <c r="E6" s="28">
        <f t="shared" si="8"/>
        <v>1.21675</v>
      </c>
      <c r="F6" s="28">
        <f t="shared" si="8"/>
        <v>1.35175</v>
      </c>
      <c r="G6" s="28">
        <f t="shared" si="8"/>
        <v>1.54</v>
      </c>
      <c r="H6" s="28">
        <f t="shared" si="8"/>
        <v>1.7837499999999999</v>
      </c>
      <c r="I6" s="28">
        <f t="shared" si="8"/>
        <v>1.93055</v>
      </c>
      <c r="J6" s="28">
        <f t="shared" si="8"/>
        <v>1.9863499999999998</v>
      </c>
      <c r="K6" s="28">
        <f t="shared" si="8"/>
        <v>2.195675</v>
      </c>
      <c r="L6" s="28">
        <f t="shared" si="8"/>
        <v>2.2533750000000001</v>
      </c>
      <c r="M6" s="28">
        <f t="shared" si="8"/>
        <v>2.3709464285714286</v>
      </c>
      <c r="N6" s="28">
        <f t="shared" si="8"/>
        <v>2.488517857142857</v>
      </c>
      <c r="O6" s="28">
        <f t="shared" si="8"/>
        <v>2.6060892857142859</v>
      </c>
      <c r="P6" s="28">
        <f t="shared" si="8"/>
        <v>2.7236607142857148</v>
      </c>
      <c r="Q6" s="28">
        <f t="shared" si="8"/>
        <v>2.8412321428571428</v>
      </c>
      <c r="R6" s="28">
        <f t="shared" si="8"/>
        <v>2.9588035714285716</v>
      </c>
      <c r="S6" s="28">
        <f t="shared" si="8"/>
        <v>3.0763749999999996</v>
      </c>
      <c r="T6" s="28">
        <f t="shared" si="8"/>
        <v>3.2257749999999996</v>
      </c>
      <c r="U6" s="28">
        <f t="shared" si="8"/>
        <v>3.3828</v>
      </c>
      <c r="V6" s="28">
        <f t="shared" si="8"/>
        <v>3.691675</v>
      </c>
      <c r="W6" s="28">
        <f t="shared" si="8"/>
        <v>3.8545499999999997</v>
      </c>
      <c r="X6" s="28">
        <f t="shared" si="8"/>
        <v>4.6884500000000005</v>
      </c>
      <c r="Y6" s="28">
        <f t="shared" si="8"/>
        <v>4.951975</v>
      </c>
      <c r="Z6" s="28">
        <f t="shared" si="8"/>
        <v>5.2155000000000342</v>
      </c>
      <c r="AA6" s="28">
        <f t="shared" si="8"/>
        <v>5.4790250000000569</v>
      </c>
      <c r="AB6" s="28">
        <f>GROWTH(B6:AA6,B1:AA1,AB1,TRUE)</f>
        <v>5.987238897515395</v>
      </c>
      <c r="AC6" s="28">
        <f t="shared" ref="AC6:AP6" si="9">GROWTH(C6:AB6,C1:AB1,AC1,TRUE)</f>
        <v>6.2643727494849095</v>
      </c>
      <c r="AD6" s="28">
        <f t="shared" si="9"/>
        <v>6.5703930332883473</v>
      </c>
      <c r="AE6" s="28">
        <f t="shared" si="9"/>
        <v>6.9046193335855728</v>
      </c>
      <c r="AF6" s="28">
        <f t="shared" si="9"/>
        <v>7.267283697827402</v>
      </c>
      <c r="AG6" s="28">
        <f t="shared" si="9"/>
        <v>7.6560052890987285</v>
      </c>
      <c r="AH6" s="28">
        <f t="shared" si="9"/>
        <v>8.0956074731178127</v>
      </c>
      <c r="AI6" s="28">
        <f t="shared" si="9"/>
        <v>8.6158018015743405</v>
      </c>
      <c r="AJ6" s="28">
        <f t="shared" si="9"/>
        <v>9.1917502754541776</v>
      </c>
      <c r="AK6" s="28">
        <f t="shared" si="9"/>
        <v>9.7925068661893899</v>
      </c>
      <c r="AL6" s="28">
        <f t="shared" si="9"/>
        <v>10.476754888329204</v>
      </c>
      <c r="AM6" s="28">
        <f t="shared" si="9"/>
        <v>11.195647539853153</v>
      </c>
      <c r="AN6" s="28">
        <f t="shared" si="9"/>
        <v>11.968736566137537</v>
      </c>
      <c r="AO6" s="28">
        <f t="shared" si="9"/>
        <v>12.796669442687593</v>
      </c>
      <c r="AP6" s="28">
        <f t="shared" si="9"/>
        <v>13.678721193770459</v>
      </c>
    </row>
    <row r="8" spans="1:42" x14ac:dyDescent="0.2">
      <c r="A8" t="s">
        <v>13</v>
      </c>
    </row>
    <row r="9" spans="1:42" x14ac:dyDescent="0.2">
      <c r="A9" s="71" t="s">
        <v>4</v>
      </c>
      <c r="B9" s="71"/>
      <c r="C9" s="71"/>
    </row>
    <row r="10" spans="1:42" x14ac:dyDescent="0.2">
      <c r="A10" s="71"/>
      <c r="B10" s="71"/>
      <c r="C10" s="71"/>
    </row>
    <row r="11" spans="1:42" x14ac:dyDescent="0.2">
      <c r="A11" s="71" t="s">
        <v>5</v>
      </c>
      <c r="B11" s="71"/>
      <c r="C11" s="71"/>
      <c r="D11" s="71"/>
      <c r="E11" s="71"/>
    </row>
    <row r="12" spans="1:42" ht="34.5" customHeight="1" x14ac:dyDescent="0.2">
      <c r="A12" s="71"/>
      <c r="B12" s="71"/>
      <c r="C12" s="71"/>
      <c r="D12" s="71"/>
      <c r="E12" s="71"/>
    </row>
  </sheetData>
  <mergeCells count="2">
    <mergeCell ref="A9:C10"/>
    <mergeCell ref="A11:E1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8"/>
  <sheetViews>
    <sheetView zoomScale="90" zoomScaleNormal="90" zoomScalePageLayoutView="90" workbookViewId="0">
      <selection activeCell="B47" sqref="B47"/>
    </sheetView>
  </sheetViews>
  <sheetFormatPr baseColWidth="10" defaultColWidth="8.83203125" defaultRowHeight="15" x14ac:dyDescent="0.2"/>
  <cols>
    <col min="1" max="1" width="48.1640625" bestFit="1" customWidth="1"/>
    <col min="2" max="15" width="17.83203125" bestFit="1" customWidth="1"/>
    <col min="16" max="22" width="18.83203125" bestFit="1" customWidth="1"/>
    <col min="23" max="23" width="19.83203125" bestFit="1" customWidth="1"/>
    <col min="24" max="25" width="18.83203125" bestFit="1" customWidth="1"/>
    <col min="26" max="27" width="19.83203125" bestFit="1" customWidth="1"/>
    <col min="28" max="28" width="13.1640625" bestFit="1" customWidth="1"/>
    <col min="29" max="37" width="14.1640625" bestFit="1" customWidth="1"/>
    <col min="38" max="42" width="15.164062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s="3" t="s">
        <v>53</v>
      </c>
      <c r="B2" s="19">
        <f>B3*0.6</f>
        <v>7888.2</v>
      </c>
      <c r="C2" s="19">
        <f t="shared" ref="C2:Y2" si="0">C3*0.6</f>
        <v>7477.7999999999993</v>
      </c>
      <c r="D2" s="19">
        <f t="shared" si="0"/>
        <v>7437.99</v>
      </c>
      <c r="E2" s="19">
        <f t="shared" si="0"/>
        <v>8712.9719999999998</v>
      </c>
      <c r="F2" s="19">
        <f t="shared" si="0"/>
        <v>9786.1319999999996</v>
      </c>
      <c r="G2" s="19">
        <f t="shared" si="0"/>
        <v>9906.8339999999989</v>
      </c>
      <c r="H2" s="19">
        <f t="shared" si="0"/>
        <v>9213</v>
      </c>
      <c r="I2" s="19">
        <f t="shared" si="0"/>
        <v>11637.779999999999</v>
      </c>
      <c r="J2" s="19">
        <f t="shared" si="0"/>
        <v>12695.4</v>
      </c>
      <c r="K2" s="19">
        <f t="shared" si="0"/>
        <v>12760.92</v>
      </c>
      <c r="L2" s="19">
        <f t="shared" si="0"/>
        <v>14519.82</v>
      </c>
      <c r="M2" s="19">
        <f t="shared" si="0"/>
        <v>13680.6</v>
      </c>
      <c r="N2" s="19">
        <f t="shared" si="0"/>
        <v>16856.063999999998</v>
      </c>
      <c r="O2" s="19">
        <f t="shared" si="0"/>
        <v>19298.633999999998</v>
      </c>
      <c r="P2" s="19">
        <f t="shared" si="0"/>
        <v>20572.451999999997</v>
      </c>
      <c r="Q2" s="19">
        <f t="shared" si="0"/>
        <v>23025.593999999997</v>
      </c>
      <c r="R2" s="19">
        <f t="shared" si="0"/>
        <v>29675.267999999996</v>
      </c>
      <c r="S2" s="19">
        <f t="shared" si="0"/>
        <v>34136.879999999997</v>
      </c>
      <c r="T2" s="19">
        <f t="shared" si="0"/>
        <v>42890.939999999995</v>
      </c>
      <c r="U2" s="19">
        <f t="shared" si="0"/>
        <v>47263.38</v>
      </c>
      <c r="V2" s="19">
        <f t="shared" si="0"/>
        <v>53220</v>
      </c>
      <c r="W2" s="19">
        <f t="shared" si="0"/>
        <v>55603.68</v>
      </c>
      <c r="X2" s="19">
        <f t="shared" si="0"/>
        <v>68556.599999999991</v>
      </c>
      <c r="Y2" s="19">
        <f t="shared" si="0"/>
        <v>74463.360000000888</v>
      </c>
      <c r="Z2" s="19">
        <f t="shared" ref="Z2" si="1">Z3*0.6</f>
        <v>85067.560000003868</v>
      </c>
      <c r="AA2" s="19">
        <f t="shared" ref="AA2" si="2">AA3*0.6</f>
        <v>92540.133333338046</v>
      </c>
    </row>
    <row r="3" spans="1:42" x14ac:dyDescent="0.2">
      <c r="A3" s="3" t="s">
        <v>52</v>
      </c>
      <c r="B3" s="19">
        <v>13147</v>
      </c>
      <c r="C3" s="19">
        <v>12463</v>
      </c>
      <c r="D3" s="19">
        <v>12396.65</v>
      </c>
      <c r="E3" s="19">
        <v>14521.62</v>
      </c>
      <c r="F3" s="19">
        <v>16310.22</v>
      </c>
      <c r="G3" s="19">
        <v>16511.39</v>
      </c>
      <c r="H3" s="19">
        <v>15355</v>
      </c>
      <c r="I3" s="19">
        <v>19396.3</v>
      </c>
      <c r="J3" s="19">
        <v>21159</v>
      </c>
      <c r="K3" s="19">
        <v>21268.2</v>
      </c>
      <c r="L3" s="19">
        <v>24199.7</v>
      </c>
      <c r="M3" s="19">
        <v>22801</v>
      </c>
      <c r="N3" s="19">
        <v>28093.439999999999</v>
      </c>
      <c r="O3" s="19">
        <v>32164.39</v>
      </c>
      <c r="P3" s="19">
        <v>34287.42</v>
      </c>
      <c r="Q3" s="19">
        <v>38375.99</v>
      </c>
      <c r="R3" s="19">
        <v>49458.78</v>
      </c>
      <c r="S3" s="19">
        <v>56894.8</v>
      </c>
      <c r="T3" s="19">
        <v>71484.899999999994</v>
      </c>
      <c r="U3" s="19">
        <v>78772.3</v>
      </c>
      <c r="V3" s="19">
        <v>88700</v>
      </c>
      <c r="W3" s="19">
        <v>92672.8</v>
      </c>
      <c r="X3" s="19">
        <v>114261</v>
      </c>
      <c r="Y3" s="19">
        <f>TREND(V3:X3,V1:X1,Y1,TRUE)</f>
        <v>124105.60000000149</v>
      </c>
      <c r="Z3" s="19">
        <f t="shared" ref="Z3:AA3" si="3">TREND(W3:Y3,W1:Y1,Z1,TRUE)</f>
        <v>141779.26666667312</v>
      </c>
      <c r="AA3" s="19">
        <f t="shared" si="3"/>
        <v>154233.55555556342</v>
      </c>
    </row>
    <row r="4" spans="1:42" x14ac:dyDescent="0.2">
      <c r="A4" s="3" t="s">
        <v>54</v>
      </c>
      <c r="B4" s="19">
        <f>('Install Capacities'!C3-'Install Capacities'!B3)*'Generation Investment'!B33</f>
        <v>16883623848</v>
      </c>
      <c r="C4" s="19">
        <f>('Install Capacities'!D3-'Install Capacities'!C3)*'Generation Investment'!C33</f>
        <v>18356696598</v>
      </c>
      <c r="D4" s="19">
        <f>('Install Capacities'!E3-'Install Capacities'!D3)*'Generation Investment'!D33</f>
        <v>24066586368</v>
      </c>
      <c r="E4" s="19">
        <f>('Install Capacities'!F3-'Install Capacities'!E3)*'Generation Investment'!E33</f>
        <v>25888152312</v>
      </c>
      <c r="F4" s="19">
        <f>('Install Capacities'!G3-'Install Capacities'!F3)*'Generation Investment'!F33</f>
        <v>38255284144</v>
      </c>
      <c r="G4" s="19">
        <f>('Install Capacities'!H3-'Install Capacities'!G3)*'Generation Investment'!G33</f>
        <v>18443580282</v>
      </c>
      <c r="H4" s="19">
        <f>('Install Capacities'!I3-'Install Capacities'!H3)*'Generation Investment'!H33</f>
        <v>9971555008</v>
      </c>
      <c r="I4" s="19">
        <f>('Install Capacities'!J3-'Install Capacities'!I3)*'Generation Investment'!I33</f>
        <v>25389793875.000023</v>
      </c>
      <c r="J4" s="19">
        <f>('Install Capacities'!K3-'Install Capacities'!J3)*'Generation Investment'!J33</f>
        <v>27311512204.800026</v>
      </c>
      <c r="K4" s="19">
        <f>('Install Capacities'!L3-'Install Capacities'!K3)*'Generation Investment'!K33</f>
        <v>29378684748.000027</v>
      </c>
      <c r="L4" s="19">
        <f>('Install Capacities'!M3-'Install Capacities'!L3)*'Generation Investment'!L33</f>
        <v>31602318169.200027</v>
      </c>
      <c r="M4" s="19">
        <f>('Install Capacities'!N3-'Install Capacities'!M3)*'Generation Investment'!M33</f>
        <v>33994259908.799877</v>
      </c>
      <c r="N4" s="19">
        <f>('Install Capacities'!O3-'Install Capacities'!N3)*'Generation Investment'!N33</f>
        <v>41210915160</v>
      </c>
      <c r="O4" s="19">
        <f>('Install Capacities'!P3-'Install Capacities'!O3)*'Generation Investment'!O33</f>
        <v>44330114328</v>
      </c>
      <c r="P4" s="19">
        <f>('Install Capacities'!Q3-'Install Capacities'!P3)*'Generation Investment'!P33</f>
        <v>47685405280</v>
      </c>
      <c r="Q4" s="19">
        <f>('Install Capacities'!R3-'Install Capacities'!Q3)*'Generation Investment'!Q33</f>
        <v>51294645752</v>
      </c>
      <c r="R4" s="19">
        <f>('Install Capacities'!S3-'Install Capacities'!R3)*'Generation Investment'!R33</f>
        <v>55177070748</v>
      </c>
      <c r="S4" s="19">
        <f>('Install Capacities'!T3-'Install Capacities'!S3)*'Generation Investment'!S33</f>
        <v>161683411199.7998</v>
      </c>
      <c r="T4" s="19">
        <f>('Install Capacities'!U3-'Install Capacities'!T3)*'Generation Investment'!T33</f>
        <v>57880165520</v>
      </c>
      <c r="U4" s="19">
        <f>('Install Capacities'!V3-'Install Capacities'!U3)*'Generation Investment'!U33</f>
        <v>250170937124</v>
      </c>
      <c r="V4" s="19">
        <f>('Install Capacities'!W3-'Install Capacities'!V3)*'Generation Investment'!V33</f>
        <v>399375632160</v>
      </c>
      <c r="W4" s="19">
        <f>('Install Capacities'!X3-'Install Capacities'!W3)*'Generation Investment'!W33</f>
        <v>800141681755.20032</v>
      </c>
      <c r="X4" s="19">
        <f>('Install Capacities'!Y3-'Install Capacities'!X3)*'Generation Investment'!X33</f>
        <v>865238987984</v>
      </c>
      <c r="Y4" s="19">
        <f>('Install Capacities'!Z3-'Install Capacities'!Y3)*'Generation Investment'!Y33</f>
        <v>769784808192</v>
      </c>
      <c r="Z4" s="19">
        <f>('Install Capacities'!AA3-'Install Capacities'!Z3)*'Generation Investment'!Z33</f>
        <v>1065207889472</v>
      </c>
      <c r="AA4" s="32">
        <f>TREND(Y4:Z4,Y1:Z1,AA1,TRUE)</f>
        <v>1360630970752</v>
      </c>
      <c r="AB4" s="32">
        <f>GROWTH(B4:AA4,B1:AA1,AB1,TRUE)</f>
        <v>806938219356.86719</v>
      </c>
      <c r="AC4" s="32">
        <f>GROWTH($B4:AB4,$B1:AB1,AC1,TRUE)</f>
        <v>962381956443.99683</v>
      </c>
      <c r="AD4" s="32">
        <f>GROWTH($B4:AC4,$B1:AC1,AD1,TRUE)</f>
        <v>1147769442408.0483</v>
      </c>
      <c r="AE4" s="32">
        <f>GROWTH($B4:AD4,$B1:AD1,AE1,TRUE)</f>
        <v>1368868861375.2791</v>
      </c>
      <c r="AF4" s="32">
        <f>GROWTH($B4:AE4,$B1:AE1,AF1,TRUE)</f>
        <v>1632559545854.1545</v>
      </c>
      <c r="AG4" s="32">
        <f>GROWTH($B4:AF4,$B1:AF1,AG1,TRUE)</f>
        <v>1947046021692.5317</v>
      </c>
      <c r="AH4" s="32">
        <f>GROWTH($B4:AG4,$B1:AG1,AH1,TRUE)</f>
        <v>2322113285371.9409</v>
      </c>
      <c r="AI4" s="32">
        <f>GROWTH($B4:AH4,$B1:AH1,AI1,TRUE)</f>
        <v>2769431256387.8286</v>
      </c>
      <c r="AJ4" s="32">
        <f>GROWTH($B4:AI4,$B1:AI1,AJ1,TRUE)</f>
        <v>3302917877509.7417</v>
      </c>
      <c r="AK4" s="32">
        <f>GROWTH($B4:AJ4,$B1:AJ1,AK1,TRUE)</f>
        <v>3939172160497.1055</v>
      </c>
      <c r="AL4" s="32">
        <f>GROWTH($B4:AK4,$B1:AK1,AL1,TRUE)</f>
        <v>4697990651143.4824</v>
      </c>
      <c r="AM4" s="32">
        <f>GROWTH($B4:AL4,$B1:AL1,AM1,TRUE)</f>
        <v>5602983383048.249</v>
      </c>
      <c r="AN4" s="32">
        <f>GROWTH($B4:AM4,$B1:AM1,AN1,TRUE)</f>
        <v>6682308485027.2549</v>
      </c>
      <c r="AO4" s="32">
        <f>GROWTH($B4:AN4,$B1:AN1,AO1,TRUE)</f>
        <v>7969548298887.0713</v>
      </c>
      <c r="AP4" s="32">
        <f>GROWTH($B4:AO4,$B1:AO1,AP1,TRUE)</f>
        <v>9504754267273.0078</v>
      </c>
    </row>
    <row r="5" spans="1:42" x14ac:dyDescent="0.2">
      <c r="A5" s="3" t="s">
        <v>55</v>
      </c>
      <c r="B5" s="19">
        <f>('Install Capacities'!C4-'Install Capacities'!B4)*'Generation Investment'!B34</f>
        <v>1330572166</v>
      </c>
      <c r="C5" s="19">
        <f>('Install Capacities'!D4-'Install Capacities'!C4)*'Generation Investment'!C34</f>
        <v>3718592419.5</v>
      </c>
      <c r="D5" s="19">
        <f>('Install Capacities'!E4-'Install Capacities'!D4)*'Generation Investment'!D34</f>
        <v>6585714474</v>
      </c>
      <c r="E5" s="19">
        <f>('Install Capacities'!F4-'Install Capacities'!E4)*'Generation Investment'!E34</f>
        <v>7084177584</v>
      </c>
      <c r="F5" s="19">
        <f>('Install Capacities'!G4-'Install Capacities'!F4)*'Generation Investment'!F34</f>
        <v>6375880192</v>
      </c>
      <c r="G5" s="19">
        <f>('Install Capacities'!H4-'Install Capacities'!G4)*'Generation Investment'!G34</f>
        <v>5840696316</v>
      </c>
      <c r="H5" s="19">
        <f>('Install Capacities'!I4-'Install Capacities'!H4)*'Generation Investment'!H34</f>
        <v>2899739934</v>
      </c>
      <c r="I5" s="19">
        <f>('Install Capacities'!J4-'Install Capacities'!I4)*'Generation Investment'!I34</f>
        <v>9762939196.7999973</v>
      </c>
      <c r="J5" s="19">
        <f>('Install Capacities'!K4-'Install Capacities'!J4)*'Generation Investment'!J34</f>
        <v>10501881881.599998</v>
      </c>
      <c r="K5" s="19">
        <f>('Install Capacities'!L4-'Install Capacities'!K4)*'Generation Investment'!K34</f>
        <v>11296756162.800009</v>
      </c>
      <c r="L5" s="19">
        <f>('Install Capacities'!M4-'Install Capacities'!L4)*'Generation Investment'!L34</f>
        <v>12151791279.60001</v>
      </c>
      <c r="M5" s="19">
        <f>('Install Capacities'!N4-'Install Capacities'!M4)*'Generation Investment'!M34</f>
        <v>13071546822.999985</v>
      </c>
      <c r="N5" s="19">
        <f>('Install Capacities'!O4-'Install Capacities'!N4)*'Generation Investment'!N34</f>
        <v>7728765623.9999886</v>
      </c>
      <c r="O5" s="19">
        <f>('Install Capacities'!P4-'Install Capacities'!O4)*'Generation Investment'!O34</f>
        <v>8313746084.9999876</v>
      </c>
      <c r="P5" s="19">
        <f>('Install Capacities'!Q4-'Install Capacities'!P4)*'Generation Investment'!P34</f>
        <v>8943002254.7999878</v>
      </c>
      <c r="Q5" s="19">
        <f>('Install Capacities'!R4-'Install Capacities'!Q4)*'Generation Investment'!Q34</f>
        <v>9619886069.9999866</v>
      </c>
      <c r="R5" s="19">
        <f>('Install Capacities'!S4-'Install Capacities'!R4)*'Generation Investment'!R34</f>
        <v>10348002367.20006</v>
      </c>
      <c r="S5" s="19">
        <f>('Install Capacities'!T4-'Install Capacities'!S4)*'Generation Investment'!S34</f>
        <v>21879532390.800014</v>
      </c>
      <c r="T5" s="19">
        <f>('Install Capacities'!U4-'Install Capacities'!T4)*'Generation Investment'!T34</f>
        <v>4507314067.1999912</v>
      </c>
      <c r="U5" s="19">
        <f>('Install Capacities'!V4-'Install Capacities'!U4)*'Generation Investment'!U34</f>
        <v>55495081234.800026</v>
      </c>
      <c r="V5" s="19">
        <f>('Install Capacities'!W4-'Install Capacities'!V4)*'Generation Investment'!V34</f>
        <v>17133708510</v>
      </c>
      <c r="W5" s="19">
        <f>('Install Capacities'!X4-'Install Capacities'!W4)*'Generation Investment'!W34</f>
        <v>20613915484.799957</v>
      </c>
      <c r="X5" s="19">
        <f>('Install Capacities'!Y4-'Install Capacities'!X4)*'Generation Investment'!X34</f>
        <v>54801481462</v>
      </c>
      <c r="Y5" s="19">
        <f>('Install Capacities'!Z4-'Install Capacities'!Y4)*'Generation Investment'!Y34</f>
        <v>57005943808</v>
      </c>
      <c r="Z5" s="19">
        <f>('Install Capacities'!AA4-'Install Capacities'!Z4)*'Generation Investment'!Z34</f>
        <v>46944035840</v>
      </c>
      <c r="AA5" s="32">
        <f>TREND(Y5:Z5,Y1:Z1,AA1,TRUE)</f>
        <v>36882127872</v>
      </c>
      <c r="AB5" s="32">
        <f>GROWTH($B5:AA5,$B1:AA1,AB1,TRUE)</f>
        <v>44380969327.757202</v>
      </c>
      <c r="AC5" s="32">
        <f>GROWTH($B5:AB5,$B1:AB1,AC1,TRUE)</f>
        <v>49095295631.032928</v>
      </c>
      <c r="AD5" s="32">
        <f>GROWTH($B5:AC5,$B1:AC1,AD1,TRUE)</f>
        <v>54310396767.089455</v>
      </c>
      <c r="AE5" s="32">
        <f>GROWTH($B5:AD5,$B1:AD1,AE1,TRUE)</f>
        <v>60079467066.787682</v>
      </c>
      <c r="AF5" s="32">
        <f>GROWTH($B5:AE5,$B1:AE1,AF1,TRUE)</f>
        <v>66461351378.237389</v>
      </c>
      <c r="AG5" s="32">
        <f>GROWTH($B5:AF5,$B1:AF1,AG1,TRUE)</f>
        <v>73521145287.644272</v>
      </c>
      <c r="AH5" s="32">
        <f>GROWTH($B5:AG5,$B1:AG1,AH1,TRUE)</f>
        <v>81330859098.016754</v>
      </c>
      <c r="AI5" s="32">
        <f>GROWTH($B5:AH5,$B1:AH1,AI1,TRUE)</f>
        <v>89970152338.373932</v>
      </c>
      <c r="AJ5" s="32">
        <f>GROWTH($B5:AI5,$B1:AI1,AJ1,TRUE)</f>
        <v>99527146295.545013</v>
      </c>
      <c r="AK5" s="32">
        <f>GROWTH($B5:AJ5,$B1:AJ1,AK1,TRUE)</f>
        <v>110099322856.31259</v>
      </c>
      <c r="AL5" s="32">
        <f>GROWTH($B5:AK5,$B1:AK1,AL1,TRUE)</f>
        <v>121794518828.29166</v>
      </c>
      <c r="AM5" s="32">
        <f>GROWTH($B5:AL5,$B1:AL1,AM1,TRUE)</f>
        <v>134732025881.52512</v>
      </c>
      <c r="AN5" s="32">
        <f>GROWTH($B5:AM5,$B1:AM1,AN1,TRUE)</f>
        <v>149043807330.37759</v>
      </c>
      <c r="AO5" s="32">
        <f>GROWTH($B5:AN5,$B1:AN1,AO1,TRUE)</f>
        <v>164875844166.90756</v>
      </c>
      <c r="AP5" s="32">
        <f>GROWTH($B5:AO5,$B1:AO1,AP1,TRUE)</f>
        <v>182389624075.38147</v>
      </c>
    </row>
    <row r="6" spans="1:42" x14ac:dyDescent="0.2">
      <c r="A6" s="3" t="s">
        <v>56</v>
      </c>
      <c r="B6" s="19">
        <f>('Install Capacities'!C7-'Install Capacities'!B7)*'Generation Investment'!B35</f>
        <v>1172535468</v>
      </c>
      <c r="C6" s="19">
        <f>('Install Capacities'!D7-'Install Capacities'!C7)*'Generation Investment'!C35</f>
        <v>0</v>
      </c>
      <c r="D6" s="19">
        <f>('Install Capacities'!E7-'Install Capacities'!D7)*'Generation Investment'!D35</f>
        <v>1338640720</v>
      </c>
      <c r="E6" s="19">
        <f>('Install Capacities'!F7-'Install Capacities'!E7)*'Generation Investment'!E35</f>
        <v>3616930728</v>
      </c>
      <c r="F6" s="19">
        <f>('Install Capacities'!G7-'Install Capacities'!F7)*'Generation Investment'!F35</f>
        <v>13708990196</v>
      </c>
      <c r="G6" s="19">
        <f>('Install Capacities'!H7-'Install Capacities'!G7)*'Generation Investment'!G35</f>
        <v>8938938048</v>
      </c>
      <c r="H6" s="19">
        <f>('Install Capacities'!I7-'Install Capacities'!H7)*'Generation Investment'!H35</f>
        <v>3157574792.3999991</v>
      </c>
      <c r="I6" s="19">
        <f>('Install Capacities'!J7-'Install Capacities'!I7)*'Generation Investment'!I35</f>
        <v>2680295197.4400015</v>
      </c>
      <c r="J6" s="19">
        <f>('Install Capacities'!K7-'Install Capacities'!J7)*'Generation Investment'!J35</f>
        <v>2392433690.3999991</v>
      </c>
      <c r="K6" s="19">
        <f>('Install Capacities'!L7-'Install Capacities'!K7)*'Generation Investment'!K35</f>
        <v>5910132121.6800013</v>
      </c>
      <c r="L6" s="19">
        <f>('Install Capacities'!M7-'Install Capacities'!L7)*'Generation Investment'!L35</f>
        <v>5484769238.4799995</v>
      </c>
      <c r="M6" s="19">
        <f>('Install Capacities'!N7-'Install Capacities'!M7)*'Generation Investment'!M35</f>
        <v>21847336054.719997</v>
      </c>
      <c r="N6" s="19">
        <f>('Install Capacities'!O7-'Install Capacities'!N7)*'Generation Investment'!N35</f>
        <v>22581980208</v>
      </c>
      <c r="O6" s="19">
        <f>('Install Capacities'!P7-'Install Capacities'!O7)*'Generation Investment'!O35</f>
        <v>49334061000</v>
      </c>
      <c r="P6" s="19">
        <f>('Install Capacities'!Q7-'Install Capacities'!P7)*'Generation Investment'!P35</f>
        <v>84898642400</v>
      </c>
      <c r="Q6" s="19">
        <f>('Install Capacities'!R7-'Install Capacities'!Q7)*'Generation Investment'!Q35</f>
        <v>114841546560</v>
      </c>
      <c r="R6" s="19">
        <f>('Install Capacities'!S7-'Install Capacities'!R7)*'Generation Investment'!R35</f>
        <v>45809848312.960007</v>
      </c>
      <c r="S6" s="19">
        <f>('Install Capacities'!T7-'Install Capacities'!S7)*'Generation Investment'!S35</f>
        <v>48152924491.040009</v>
      </c>
      <c r="T6" s="19">
        <f>('Install Capacities'!U7-'Install Capacities'!T7)*'Generation Investment'!T35</f>
        <v>121644746079.03993</v>
      </c>
      <c r="U6" s="19">
        <f>('Install Capacities'!V7-'Install Capacities'!U7)*'Generation Investment'!U35</f>
        <v>99606731474.880112</v>
      </c>
      <c r="V6" s="19">
        <f>('Install Capacities'!W7-'Install Capacities'!V7)*'Generation Investment'!V35</f>
        <v>174051205806.16</v>
      </c>
      <c r="W6" s="19">
        <f>('Install Capacities'!X7-'Install Capacities'!W7)*'Generation Investment'!W35</f>
        <v>347911661283.67981</v>
      </c>
      <c r="X6" s="19">
        <f>('Install Capacities'!Y7-'Install Capacities'!X7)*'Generation Investment'!X35</f>
        <v>142594268620.48029</v>
      </c>
      <c r="Y6" s="19">
        <f>('Install Capacities'!Z7-'Install Capacities'!Y7)*'Generation Investment'!Y35</f>
        <v>251159796900.79999</v>
      </c>
      <c r="Z6" s="19">
        <f>('Install Capacities'!AA7-'Install Capacities'!Z7)*'Generation Investment'!Z35</f>
        <v>230315390092.79987</v>
      </c>
      <c r="AA6" s="32">
        <f>TREND(Y6:Z6,Y1:Z1,AA1,TRUE)</f>
        <v>209470983284.79688</v>
      </c>
      <c r="AB6" s="32">
        <f>GROWTH($D6:AA6,$D1:AA1,AB1,FALSE)</f>
        <v>34923942379.415329</v>
      </c>
      <c r="AC6" s="32">
        <f>GROWTH($D6:AB6,$D1:AB1,AC1,FALSE)</f>
        <v>35347034749.88443</v>
      </c>
      <c r="AD6" s="32">
        <f>GROWTH($D6:AC6,$D1:AC1,AD1,FALSE)</f>
        <v>35775252748.840714</v>
      </c>
      <c r="AE6" s="32">
        <f>GROWTH($D6:AD6,$D1:AD1,AE1,FALSE)</f>
        <v>36208658471.631424</v>
      </c>
      <c r="AF6" s="32">
        <f>GROWTH($D6:AE6,$D1:AE1,AF1,FALSE)</f>
        <v>36647314765.86763</v>
      </c>
      <c r="AG6" s="32">
        <f>GROWTH($D6:AF6,$D1:AF1,AG1,FALSE)</f>
        <v>37091285240.540092</v>
      </c>
      <c r="AH6" s="32">
        <f>GROWTH($D6:AG6,$D1:AG1,AH1,FALSE)</f>
        <v>37540634275.241852</v>
      </c>
      <c r="AI6" s="32">
        <f>GROWTH($D6:AH6,$D1:AH1,AI1,FALSE)</f>
        <v>37995427029.504105</v>
      </c>
      <c r="AJ6" s="32">
        <f>GROWTH($D6:AI6,$D1:AI1,AJ1,FALSE)</f>
        <v>38455729452.244858</v>
      </c>
      <c r="AK6" s="32">
        <f>GROWTH($D6:AJ6,$D1:AJ1,AK1,FALSE)</f>
        <v>38921608291.332283</v>
      </c>
      <c r="AL6" s="32">
        <f>GROWTH($D6:AK6,$D1:AK1,AL1,FALSE)</f>
        <v>39393131103.262756</v>
      </c>
      <c r="AM6" s="32">
        <f>GROWTH($D6:AL6,$D1:AL1,AM1,FALSE)</f>
        <v>39870366262.959625</v>
      </c>
      <c r="AN6" s="32">
        <f>GROWTH($D6:AM6,$D1:AM1,AN1,FALSE)</f>
        <v>40353382973.685257</v>
      </c>
      <c r="AO6" s="32">
        <f>GROWTH($D6:AN6,$D1:AN1,AO1,FALSE)</f>
        <v>40842251277.077232</v>
      </c>
      <c r="AP6" s="32">
        <f>GROWTH($D6:AO6,$D1:AO1,AP1,FALSE)</f>
        <v>41337042063.306129</v>
      </c>
    </row>
    <row r="7" spans="1:42" x14ac:dyDescent="0.2">
      <c r="A7" s="3" t="s">
        <v>57</v>
      </c>
      <c r="B7" s="19">
        <f>('Install Capacities'!C8-'Install Capacities'!B8)*'Generation Investment'!B36</f>
        <v>0</v>
      </c>
      <c r="C7" s="19">
        <f>('Install Capacities'!D8-'Install Capacities'!C8)*'Generation Investment'!C36</f>
        <v>0</v>
      </c>
      <c r="D7" s="19">
        <f>('Install Capacities'!E8-'Install Capacities'!D8)*'Generation Investment'!D36</f>
        <v>0</v>
      </c>
      <c r="E7" s="19">
        <f>('Install Capacities'!F8-'Install Capacities'!E8)*'Generation Investment'!E36</f>
        <v>0</v>
      </c>
      <c r="F7" s="19">
        <f>('Install Capacities'!G8-'Install Capacities'!F8)*'Generation Investment'!F36</f>
        <v>0</v>
      </c>
      <c r="G7" s="19">
        <f>('Install Capacities'!H8-'Install Capacities'!G8)*'Generation Investment'!G36</f>
        <v>0</v>
      </c>
      <c r="H7" s="19">
        <f>('Install Capacities'!I8-'Install Capacities'!H8)*'Generation Investment'!H36</f>
        <v>0</v>
      </c>
      <c r="I7" s="19">
        <f>('Install Capacities'!J8-'Install Capacities'!I8)*'Generation Investment'!I36</f>
        <v>0</v>
      </c>
      <c r="J7" s="19">
        <f>('Install Capacities'!K8-'Install Capacities'!J8)*'Generation Investment'!J36</f>
        <v>0</v>
      </c>
      <c r="K7" s="19">
        <f>('Install Capacities'!L8-'Install Capacities'!K8)*'Generation Investment'!K36</f>
        <v>116590504</v>
      </c>
      <c r="L7" s="19">
        <f>('Install Capacities'!M8-'Install Capacities'!L8)*'Generation Investment'!L36</f>
        <v>0</v>
      </c>
      <c r="M7" s="19">
        <f>('Install Capacities'!N8-'Install Capacities'!M8)*'Generation Investment'!M36</f>
        <v>0</v>
      </c>
      <c r="N7" s="19">
        <f>('Install Capacities'!O8-'Install Capacities'!N8)*'Generation Investment'!N36</f>
        <v>0</v>
      </c>
      <c r="O7" s="19">
        <f>('Install Capacities'!P8-'Install Capacities'!O8)*'Generation Investment'!O36</f>
        <v>0</v>
      </c>
      <c r="P7" s="19">
        <f>('Install Capacities'!Q8-'Install Capacities'!P8)*'Generation Investment'!P36</f>
        <v>0</v>
      </c>
      <c r="Q7" s="19">
        <f>('Install Capacities'!R8-'Install Capacities'!Q8)*'Generation Investment'!Q36</f>
        <v>126053328</v>
      </c>
      <c r="R7" s="19">
        <f>('Install Capacities'!S8-'Install Capacities'!R8)*'Generation Investment'!R36</f>
        <v>0</v>
      </c>
      <c r="S7" s="19">
        <f>('Install Capacities'!T8-'Install Capacities'!S8)*'Generation Investment'!S36</f>
        <v>15102399.360000014</v>
      </c>
      <c r="T7" s="19">
        <f>('Install Capacities'!U8-'Install Capacities'!T8)*'Generation Investment'!T36</f>
        <v>0</v>
      </c>
      <c r="U7" s="19">
        <f>('Install Capacities'!V8-'Install Capacities'!U8)*'Generation Investment'!U36</f>
        <v>480564321.91999996</v>
      </c>
      <c r="V7" s="19">
        <f>('Install Capacities'!W8-'Install Capacities'!V8)*'Generation Investment'!V36</f>
        <v>3224912891.2000003</v>
      </c>
      <c r="W7" s="19">
        <f>('Install Capacities'!X8-'Install Capacities'!W8)*'Generation Investment'!W36</f>
        <v>108036936145.92</v>
      </c>
      <c r="X7" s="19">
        <f>('Install Capacities'!Y8-'Install Capacities'!X8)*'Generation Investment'!X36</f>
        <v>86034766358.800018</v>
      </c>
      <c r="Y7" s="19">
        <f>('Install Capacities'!Z8-'Install Capacities'!Y8)*'Generation Investment'!Y36</f>
        <v>106310426636.95998</v>
      </c>
      <c r="Z7" s="19">
        <f>('Install Capacities'!AA8-'Install Capacities'!Z8)*'Generation Investment'!Z36</f>
        <v>121521088992.95999</v>
      </c>
      <c r="AA7" s="32">
        <f>TREND(Y7:Z7,Y1:Z1,AA1,TRUE)</f>
        <v>136731751348.96094</v>
      </c>
      <c r="AB7" s="32">
        <f>TREND($U7:AA7,$U1:AA1,AB1,TRUE)</f>
        <v>172279978638.91406</v>
      </c>
      <c r="AC7" s="32">
        <f>TREND($U7:AB7,$U1:AB1,AC1,TRUE)</f>
        <v>195266385916.61719</v>
      </c>
      <c r="AD7" s="32">
        <f>TREND($U7:AC7,$U1:AC1,AD1,TRUE)</f>
        <v>218252793194.32031</v>
      </c>
      <c r="AE7" s="32">
        <f>TREND($U7:AD7,$U1:AD1,AE1,TRUE)</f>
        <v>241239200472.02344</v>
      </c>
      <c r="AF7" s="32">
        <f>TREND($U7:AE7,$U1:AE1,AF1,TRUE)</f>
        <v>264225607749.72656</v>
      </c>
      <c r="AG7" s="32">
        <f>TREND($U7:AF7,$U1:AF1,AG1,TRUE)</f>
        <v>287212015027.42969</v>
      </c>
      <c r="AH7" s="32">
        <f>TREND($U7:AG7,$U1:AG1,AH1,TRUE)</f>
        <v>310198422305.13281</v>
      </c>
      <c r="AI7" s="32">
        <f>TREND($U7:AH7,$U1:AH1,AI1,TRUE)</f>
        <v>333184829582.83594</v>
      </c>
      <c r="AJ7" s="32">
        <f>TREND($U7:AI7,$U1:AI1,AJ1,TRUE)</f>
        <v>356171236860.53125</v>
      </c>
      <c r="AK7" s="32">
        <f>TREND($U7:AJ7,$U1:AJ1,AK1,TRUE)</f>
        <v>379157644138.24219</v>
      </c>
      <c r="AL7" s="32">
        <f>TREND($U7:AK7,$U1:AK1,AL1,TRUE)</f>
        <v>402144051415.94531</v>
      </c>
      <c r="AM7" s="32">
        <f>TREND($U7:AL7,$U1:AL1,AM1,TRUE)</f>
        <v>425130458693.64844</v>
      </c>
      <c r="AN7" s="32">
        <f>TREND($U7:AM7,$U1:AM1,AN1,TRUE)</f>
        <v>448116865971.35156</v>
      </c>
      <c r="AO7" s="32">
        <f>TREND($U7:AN7,$U1:AN1,AO1,TRUE)</f>
        <v>471103273249.04688</v>
      </c>
      <c r="AP7" s="32">
        <f>TREND($U7:AO7,$U1:AO1,AP1,TRUE)</f>
        <v>494089680526.75781</v>
      </c>
    </row>
    <row r="8" spans="1:42" x14ac:dyDescent="0.2">
      <c r="A8" s="3" t="s">
        <v>66</v>
      </c>
      <c r="B8" s="19">
        <f>SUM(B4:B7)</f>
        <v>19386731482</v>
      </c>
      <c r="C8" s="19">
        <f t="shared" ref="C8:AP8" si="4">SUM(C4:C7)</f>
        <v>22075289017.5</v>
      </c>
      <c r="D8" s="19">
        <f t="shared" si="4"/>
        <v>31990941562</v>
      </c>
      <c r="E8" s="19">
        <f t="shared" si="4"/>
        <v>36589260624</v>
      </c>
      <c r="F8" s="19">
        <f t="shared" si="4"/>
        <v>58340154532</v>
      </c>
      <c r="G8" s="19">
        <f t="shared" si="4"/>
        <v>33223214646</v>
      </c>
      <c r="H8" s="19">
        <f t="shared" si="4"/>
        <v>16028869734.4</v>
      </c>
      <c r="I8" s="19">
        <f t="shared" si="4"/>
        <v>37833028269.240021</v>
      </c>
      <c r="J8" s="19">
        <f t="shared" si="4"/>
        <v>40205827776.800026</v>
      </c>
      <c r="K8" s="19">
        <f t="shared" si="4"/>
        <v>46702163536.480034</v>
      </c>
      <c r="L8" s="19">
        <f t="shared" si="4"/>
        <v>49238878687.280029</v>
      </c>
      <c r="M8" s="19">
        <f t="shared" si="4"/>
        <v>68913142786.519867</v>
      </c>
      <c r="N8" s="19">
        <f t="shared" si="4"/>
        <v>71521660991.999985</v>
      </c>
      <c r="O8" s="19">
        <f t="shared" si="4"/>
        <v>101977921412.99998</v>
      </c>
      <c r="P8" s="19">
        <f t="shared" si="4"/>
        <v>141527049934.79999</v>
      </c>
      <c r="Q8" s="19">
        <f t="shared" si="4"/>
        <v>175882131710</v>
      </c>
      <c r="R8" s="19">
        <f t="shared" si="4"/>
        <v>111334921428.16006</v>
      </c>
      <c r="S8" s="19">
        <f t="shared" si="4"/>
        <v>231730970480.99982</v>
      </c>
      <c r="T8" s="19">
        <f t="shared" si="4"/>
        <v>184032225666.23993</v>
      </c>
      <c r="U8" s="19">
        <f t="shared" si="4"/>
        <v>405753314155.60016</v>
      </c>
      <c r="V8" s="19">
        <f t="shared" si="4"/>
        <v>593785459367.35999</v>
      </c>
      <c r="W8" s="19">
        <f t="shared" si="4"/>
        <v>1276704194669.6001</v>
      </c>
      <c r="X8" s="19">
        <f t="shared" si="4"/>
        <v>1148669504425.2803</v>
      </c>
      <c r="Y8" s="19">
        <f t="shared" si="4"/>
        <v>1184260975537.76</v>
      </c>
      <c r="Z8" s="19">
        <f t="shared" si="4"/>
        <v>1463988404397.7598</v>
      </c>
      <c r="AA8" s="19">
        <f t="shared" si="4"/>
        <v>1743715833257.7578</v>
      </c>
      <c r="AB8" s="32">
        <f t="shared" si="4"/>
        <v>1058523109702.9537</v>
      </c>
      <c r="AC8" s="32">
        <f t="shared" si="4"/>
        <v>1242090672741.5312</v>
      </c>
      <c r="AD8" s="32">
        <f t="shared" si="4"/>
        <v>1456107885118.2988</v>
      </c>
      <c r="AE8" s="32">
        <f t="shared" si="4"/>
        <v>1706396187385.7214</v>
      </c>
      <c r="AF8" s="32">
        <f t="shared" si="4"/>
        <v>1999893819747.9861</v>
      </c>
      <c r="AG8" s="32">
        <f t="shared" si="4"/>
        <v>2344870467248.1455</v>
      </c>
      <c r="AH8" s="32">
        <f t="shared" si="4"/>
        <v>2751183201050.332</v>
      </c>
      <c r="AI8" s="32">
        <f t="shared" si="4"/>
        <v>3230581665338.5425</v>
      </c>
      <c r="AJ8" s="32">
        <f t="shared" si="4"/>
        <v>3797071990118.0625</v>
      </c>
      <c r="AK8" s="32">
        <f t="shared" si="4"/>
        <v>4467350735782.9922</v>
      </c>
      <c r="AL8" s="32">
        <f t="shared" si="4"/>
        <v>5261322352490.9824</v>
      </c>
      <c r="AM8" s="32">
        <f t="shared" si="4"/>
        <v>6202716233886.3828</v>
      </c>
      <c r="AN8" s="32">
        <f t="shared" si="4"/>
        <v>7319822541302.6699</v>
      </c>
      <c r="AO8" s="32">
        <f t="shared" si="4"/>
        <v>8646369667580.1025</v>
      </c>
      <c r="AP8" s="32">
        <f t="shared" si="4"/>
        <v>10222570613938.453</v>
      </c>
    </row>
    <row r="10" spans="1:42" s="43" customFormat="1" x14ac:dyDescent="0.2">
      <c r="A10" s="43" t="s">
        <v>34</v>
      </c>
      <c r="B10" s="43">
        <v>1990</v>
      </c>
      <c r="C10" s="43">
        <v>1991</v>
      </c>
      <c r="D10" s="43">
        <v>1992</v>
      </c>
      <c r="E10" s="43">
        <v>1993</v>
      </c>
      <c r="F10" s="43">
        <v>1994</v>
      </c>
      <c r="G10" s="43">
        <v>1995</v>
      </c>
      <c r="H10" s="43">
        <v>1996</v>
      </c>
      <c r="I10" s="43">
        <v>1997</v>
      </c>
      <c r="J10" s="43">
        <v>1998</v>
      </c>
      <c r="K10" s="43">
        <v>1999</v>
      </c>
      <c r="L10" s="43">
        <v>2000</v>
      </c>
      <c r="M10" s="43">
        <v>2001</v>
      </c>
      <c r="N10" s="43">
        <v>2002</v>
      </c>
      <c r="O10" s="43">
        <v>2003</v>
      </c>
      <c r="P10" s="43">
        <v>2004</v>
      </c>
      <c r="Q10" s="43">
        <v>2005</v>
      </c>
      <c r="R10" s="43">
        <v>2006</v>
      </c>
      <c r="S10" s="43">
        <v>2007</v>
      </c>
      <c r="T10" s="43">
        <v>2008</v>
      </c>
      <c r="U10" s="43">
        <v>2009</v>
      </c>
      <c r="V10" s="43">
        <v>2010</v>
      </c>
      <c r="W10" s="43">
        <v>2011</v>
      </c>
      <c r="X10" s="43">
        <v>2012</v>
      </c>
      <c r="Y10" s="43">
        <v>2013</v>
      </c>
      <c r="Z10" s="43">
        <v>2014</v>
      </c>
      <c r="AA10" s="43">
        <v>2015</v>
      </c>
    </row>
    <row r="11" spans="1:42" s="43" customFormat="1" x14ac:dyDescent="0.2">
      <c r="A11" s="44" t="s">
        <v>184</v>
      </c>
      <c r="B11" s="44">
        <v>1</v>
      </c>
      <c r="C11" s="44">
        <v>2</v>
      </c>
      <c r="D11" s="44">
        <v>3</v>
      </c>
      <c r="E11" s="44">
        <v>4</v>
      </c>
      <c r="F11" s="44">
        <v>5</v>
      </c>
      <c r="G11" s="44">
        <v>6</v>
      </c>
      <c r="H11" s="44">
        <v>7</v>
      </c>
      <c r="I11" s="44">
        <v>8</v>
      </c>
      <c r="J11" s="44">
        <v>9</v>
      </c>
      <c r="K11" s="44">
        <v>10</v>
      </c>
      <c r="L11" s="44">
        <v>11</v>
      </c>
      <c r="M11" s="44">
        <v>12</v>
      </c>
      <c r="N11" s="44">
        <v>13</v>
      </c>
      <c r="O11" s="44">
        <v>14</v>
      </c>
      <c r="P11" s="44">
        <v>15</v>
      </c>
      <c r="Q11" s="44">
        <v>16</v>
      </c>
      <c r="R11" s="44">
        <v>17</v>
      </c>
      <c r="S11" s="44">
        <v>18</v>
      </c>
      <c r="T11" s="44">
        <v>19</v>
      </c>
      <c r="U11" s="44">
        <v>20</v>
      </c>
      <c r="V11" s="44">
        <v>21</v>
      </c>
      <c r="W11" s="44">
        <v>22</v>
      </c>
      <c r="X11" s="44">
        <v>23</v>
      </c>
      <c r="Y11" s="44">
        <v>24</v>
      </c>
      <c r="Z11" s="44">
        <v>25</v>
      </c>
      <c r="AA11" s="44">
        <v>26</v>
      </c>
      <c r="AB11" s="44">
        <v>27</v>
      </c>
      <c r="AC11" s="44">
        <v>28</v>
      </c>
      <c r="AD11" s="44">
        <v>29</v>
      </c>
      <c r="AE11" s="44">
        <v>30</v>
      </c>
      <c r="AF11" s="44">
        <v>31</v>
      </c>
      <c r="AG11" s="44">
        <v>32</v>
      </c>
      <c r="AH11" s="44">
        <v>33</v>
      </c>
      <c r="AI11" s="44">
        <v>34</v>
      </c>
      <c r="AJ11" s="44">
        <v>35</v>
      </c>
      <c r="AK11" s="44">
        <v>36</v>
      </c>
      <c r="AL11" s="44">
        <v>37</v>
      </c>
      <c r="AM11" s="44">
        <v>38</v>
      </c>
      <c r="AN11" s="44">
        <v>39</v>
      </c>
      <c r="AO11" s="44">
        <v>40</v>
      </c>
      <c r="AP11" s="44">
        <v>41</v>
      </c>
    </row>
    <row r="12" spans="1:42" s="43" customFormat="1" x14ac:dyDescent="0.2">
      <c r="A12" s="43" t="s">
        <v>65</v>
      </c>
    </row>
    <row r="13" spans="1:42" s="43" customFormat="1" x14ac:dyDescent="0.2">
      <c r="A13" s="43" t="s">
        <v>61</v>
      </c>
      <c r="B13" s="43">
        <v>62836</v>
      </c>
      <c r="C13" s="43">
        <v>65530.101560000003</v>
      </c>
      <c r="D13" s="43">
        <v>68405.015629999994</v>
      </c>
      <c r="E13" s="43">
        <v>72104.375</v>
      </c>
      <c r="F13" s="43">
        <v>76010.046879999994</v>
      </c>
      <c r="G13" s="43">
        <v>81674.632809999996</v>
      </c>
      <c r="H13" s="43">
        <v>84355.0625</v>
      </c>
      <c r="I13" s="43">
        <v>85777.40625</v>
      </c>
      <c r="J13" s="43">
        <v>89331.9375</v>
      </c>
      <c r="K13" s="43">
        <v>93084.695309999996</v>
      </c>
      <c r="L13" s="43">
        <v>97046.742190000004</v>
      </c>
      <c r="M13" s="43">
        <v>101229.74219</v>
      </c>
      <c r="N13" s="43">
        <v>105646.02344</v>
      </c>
      <c r="O13" s="43">
        <v>110900.69531</v>
      </c>
      <c r="P13" s="43">
        <v>116448.40625</v>
      </c>
      <c r="Q13" s="43">
        <v>122305.50781</v>
      </c>
      <c r="R13" s="43">
        <v>128489.25</v>
      </c>
      <c r="S13" s="43">
        <v>135017.84375</v>
      </c>
      <c r="T13" s="43">
        <v>153794.09375</v>
      </c>
      <c r="U13" s="43">
        <v>160391.23438000001</v>
      </c>
      <c r="V13" s="43">
        <v>188377.46875</v>
      </c>
      <c r="W13" s="43">
        <v>232227.64063000001</v>
      </c>
      <c r="X13" s="43">
        <v>318453.71875</v>
      </c>
      <c r="Y13" s="43">
        <v>409968.21875</v>
      </c>
      <c r="Z13" s="43">
        <v>489878.96875</v>
      </c>
      <c r="AA13" s="43">
        <v>598409.625</v>
      </c>
      <c r="AB13" s="64">
        <f>GROWTH(B13:AA13,B1:AA1,AB1,TRUE)</f>
        <v>362335.99280649936</v>
      </c>
      <c r="AC13" s="64">
        <f t="shared" ref="AC13:AP13" si="5">GROWTH(C13:AB13,C1:AB1,AC1,TRUE)</f>
        <v>398578.42549481936</v>
      </c>
      <c r="AD13" s="64">
        <f t="shared" si="5"/>
        <v>439372.37506577431</v>
      </c>
      <c r="AE13" s="64">
        <f t="shared" si="5"/>
        <v>485323.4107358504</v>
      </c>
      <c r="AF13" s="64">
        <f t="shared" si="5"/>
        <v>537514.52587681008</v>
      </c>
      <c r="AG13" s="64">
        <f t="shared" si="5"/>
        <v>596902.82903949625</v>
      </c>
      <c r="AH13" s="64">
        <f t="shared" si="5"/>
        <v>665682.00166058657</v>
      </c>
      <c r="AI13" s="64">
        <f t="shared" si="5"/>
        <v>743277.80262724962</v>
      </c>
      <c r="AJ13" s="64">
        <f t="shared" si="5"/>
        <v>829366.5696898821</v>
      </c>
      <c r="AK13" s="64">
        <f t="shared" si="5"/>
        <v>925821.07058722095</v>
      </c>
      <c r="AL13" s="64">
        <f t="shared" si="5"/>
        <v>1033392.1670182041</v>
      </c>
      <c r="AM13" s="64">
        <f t="shared" si="5"/>
        <v>1152651.8288226656</v>
      </c>
      <c r="AN13" s="64">
        <f t="shared" si="5"/>
        <v>1283881.1898497918</v>
      </c>
      <c r="AO13" s="64">
        <f t="shared" si="5"/>
        <v>1426928.0251210746</v>
      </c>
      <c r="AP13" s="64">
        <f t="shared" si="5"/>
        <v>1581762.2261604979</v>
      </c>
    </row>
    <row r="14" spans="1:42" s="43" customFormat="1" x14ac:dyDescent="0.2">
      <c r="A14" s="43" t="s">
        <v>62</v>
      </c>
      <c r="B14" s="43">
        <v>2380.1999500000002</v>
      </c>
      <c r="C14" s="43">
        <v>2592.51782</v>
      </c>
      <c r="D14" s="43">
        <v>3174.90112</v>
      </c>
      <c r="E14" s="43">
        <v>4187.21533</v>
      </c>
      <c r="F14" s="43">
        <v>5255.9843799999999</v>
      </c>
      <c r="G14" s="43">
        <v>6200.0815400000001</v>
      </c>
      <c r="H14" s="43">
        <v>7048.9165000000003</v>
      </c>
      <c r="I14" s="43">
        <v>7462.53467</v>
      </c>
      <c r="J14" s="43">
        <v>8829.3291000000008</v>
      </c>
      <c r="K14" s="43">
        <v>10272.347659999999</v>
      </c>
      <c r="L14" s="43">
        <v>11795.840819999999</v>
      </c>
      <c r="M14" s="43">
        <v>13404.29688</v>
      </c>
      <c r="N14" s="43">
        <v>15102.45508</v>
      </c>
      <c r="O14" s="43">
        <v>16087.924800000001</v>
      </c>
      <c r="P14" s="43">
        <v>17128.351559999999</v>
      </c>
      <c r="Q14" s="43">
        <v>18226.802729999999</v>
      </c>
      <c r="R14" s="43">
        <v>19386.511719999999</v>
      </c>
      <c r="S14" s="43">
        <v>20610.896479999999</v>
      </c>
      <c r="T14" s="43">
        <v>23151.761719999999</v>
      </c>
      <c r="U14" s="43">
        <v>23665.501950000002</v>
      </c>
      <c r="V14" s="43">
        <v>29873.650389999999</v>
      </c>
      <c r="W14" s="43">
        <v>31754.876950000002</v>
      </c>
      <c r="X14" s="43">
        <v>33976.304689999997</v>
      </c>
      <c r="Y14" s="43">
        <v>39772.539060000003</v>
      </c>
      <c r="Z14" s="43">
        <v>45690.28125</v>
      </c>
      <c r="AA14" s="43">
        <v>50473.257810000003</v>
      </c>
      <c r="AB14" s="64">
        <f>GROWTH(B14:AA14,B1:AA1,AB1,TRUE)</f>
        <v>60526.517310648836</v>
      </c>
      <c r="AC14" s="64">
        <f t="shared" ref="AC14:AP14" si="6">GROWTH(C14:AB14,C1:AB1,AC1,TRUE)</f>
        <v>66204.248574856683</v>
      </c>
      <c r="AD14" s="64">
        <f t="shared" si="6"/>
        <v>71786.298083933827</v>
      </c>
      <c r="AE14" s="64">
        <f t="shared" si="6"/>
        <v>77839.293192525351</v>
      </c>
      <c r="AF14" s="64">
        <f t="shared" si="6"/>
        <v>85039.160198787416</v>
      </c>
      <c r="AG14" s="64">
        <f t="shared" si="6"/>
        <v>93484.436533360669</v>
      </c>
      <c r="AH14" s="64">
        <f t="shared" si="6"/>
        <v>103087.77427751677</v>
      </c>
      <c r="AI14" s="64">
        <f t="shared" si="6"/>
        <v>113797.42744478518</v>
      </c>
      <c r="AJ14" s="64">
        <f t="shared" si="6"/>
        <v>125037.56269610021</v>
      </c>
      <c r="AK14" s="64">
        <f t="shared" si="6"/>
        <v>137915.35539390292</v>
      </c>
      <c r="AL14" s="64">
        <f t="shared" si="6"/>
        <v>152676.63293068277</v>
      </c>
      <c r="AM14" s="64">
        <f t="shared" si="6"/>
        <v>169624.62976493637</v>
      </c>
      <c r="AN14" s="64">
        <f t="shared" si="6"/>
        <v>189128.23024447489</v>
      </c>
      <c r="AO14" s="64">
        <f t="shared" si="6"/>
        <v>211633.40691572122</v>
      </c>
      <c r="AP14" s="64">
        <f t="shared" si="6"/>
        <v>236677.24582579391</v>
      </c>
    </row>
    <row r="15" spans="1:42" s="43" customFormat="1" x14ac:dyDescent="0.2">
      <c r="A15" s="43" t="s">
        <v>63</v>
      </c>
      <c r="B15" s="43">
        <v>0</v>
      </c>
      <c r="C15" s="43">
        <v>189.07964000000001</v>
      </c>
      <c r="D15" s="43">
        <v>189.07964000000001</v>
      </c>
      <c r="E15" s="43">
        <v>396.01378999999997</v>
      </c>
      <c r="F15" s="43">
        <v>964.74352999999996</v>
      </c>
      <c r="G15" s="43">
        <v>3139.1381799999999</v>
      </c>
      <c r="H15" s="43">
        <v>4546.2871100000002</v>
      </c>
      <c r="I15" s="43">
        <v>5036.2358400000003</v>
      </c>
      <c r="J15" s="43">
        <v>5445.4116199999999</v>
      </c>
      <c r="K15" s="43">
        <v>5803.9384799999998</v>
      </c>
      <c r="L15" s="43">
        <v>6672.7529299999997</v>
      </c>
      <c r="M15" s="43">
        <v>7462.6870099999996</v>
      </c>
      <c r="N15" s="43">
        <v>10524.48047</v>
      </c>
      <c r="O15" s="43">
        <v>13622.342769999999</v>
      </c>
      <c r="P15" s="43">
        <v>20259.152340000001</v>
      </c>
      <c r="Q15" s="43">
        <v>31494.988280000001</v>
      </c>
      <c r="R15" s="43">
        <v>46464.621090000001</v>
      </c>
      <c r="S15" s="43">
        <v>52349.039060000003</v>
      </c>
      <c r="T15" s="43">
        <v>58416.910159999999</v>
      </c>
      <c r="U15" s="43">
        <v>73490.304690000004</v>
      </c>
      <c r="V15" s="43">
        <v>85613.46875</v>
      </c>
      <c r="W15" s="43">
        <v>106402.54687999999</v>
      </c>
      <c r="X15" s="43">
        <v>146888.03125</v>
      </c>
      <c r="Y15" s="43">
        <v>162962.98438000001</v>
      </c>
      <c r="Z15" s="43">
        <v>189694.60938000001</v>
      </c>
      <c r="AA15" s="43">
        <v>213718.76563000001</v>
      </c>
      <c r="AB15" s="64">
        <f>GROWTH(C15:AA15,C1:AA1,AB1,TRUE)</f>
        <v>490793.15491733426</v>
      </c>
      <c r="AC15" s="64">
        <f t="shared" ref="AC15:AP15" si="7">GROWTH(D15:AB15,D1:AB1,AC1,TRUE)</f>
        <v>595916.04123563832</v>
      </c>
      <c r="AD15" s="64">
        <f t="shared" si="7"/>
        <v>689945.79284140957</v>
      </c>
      <c r="AE15" s="64">
        <f t="shared" si="7"/>
        <v>806373.30897667084</v>
      </c>
      <c r="AF15" s="64">
        <f t="shared" si="7"/>
        <v>971593.94496453309</v>
      </c>
      <c r="AG15" s="64">
        <f t="shared" si="7"/>
        <v>1253948.982721122</v>
      </c>
      <c r="AH15" s="64">
        <f t="shared" si="7"/>
        <v>1645779.244024961</v>
      </c>
      <c r="AI15" s="64">
        <f t="shared" si="7"/>
        <v>2152544.6380854137</v>
      </c>
      <c r="AJ15" s="64">
        <f t="shared" si="7"/>
        <v>2793162.541514311</v>
      </c>
      <c r="AK15" s="64">
        <f t="shared" si="7"/>
        <v>3579862.7153939749</v>
      </c>
      <c r="AL15" s="64">
        <f t="shared" si="7"/>
        <v>4544733.5785818622</v>
      </c>
      <c r="AM15" s="64">
        <f t="shared" si="7"/>
        <v>5686050.5759732407</v>
      </c>
      <c r="AN15" s="64">
        <f t="shared" si="7"/>
        <v>7133008.3319524629</v>
      </c>
      <c r="AO15" s="64">
        <f t="shared" si="7"/>
        <v>8917583.1650918089</v>
      </c>
      <c r="AP15" s="64">
        <f t="shared" si="7"/>
        <v>11247617.991693402</v>
      </c>
    </row>
    <row r="16" spans="1:42" s="43" customFormat="1" x14ac:dyDescent="0.2">
      <c r="A16" s="43" t="s">
        <v>64</v>
      </c>
      <c r="B16" s="43">
        <v>0</v>
      </c>
      <c r="C16" s="43">
        <v>0</v>
      </c>
      <c r="D16" s="43">
        <v>0</v>
      </c>
      <c r="E16" s="43">
        <v>0</v>
      </c>
      <c r="F16" s="43">
        <v>0</v>
      </c>
      <c r="G16" s="43">
        <v>0</v>
      </c>
      <c r="H16" s="43">
        <v>0</v>
      </c>
      <c r="I16" s="43">
        <v>0</v>
      </c>
      <c r="J16" s="43">
        <v>0</v>
      </c>
      <c r="K16" s="43">
        <v>0</v>
      </c>
      <c r="L16" s="43">
        <v>15.840719999999999</v>
      </c>
      <c r="M16" s="43">
        <v>15.840719999999999</v>
      </c>
      <c r="N16" s="43">
        <v>15.840719999999999</v>
      </c>
      <c r="O16" s="43">
        <v>15.840719999999999</v>
      </c>
      <c r="P16" s="43">
        <v>15.840719999999999</v>
      </c>
      <c r="Q16" s="43">
        <v>15.840719999999999</v>
      </c>
      <c r="R16" s="43">
        <v>31.13814</v>
      </c>
      <c r="S16" s="43">
        <v>31.13814</v>
      </c>
      <c r="T16" s="43">
        <v>32.902610000000003</v>
      </c>
      <c r="U16" s="43">
        <v>32.902610000000003</v>
      </c>
      <c r="V16" s="43">
        <v>86.952550000000002</v>
      </c>
      <c r="W16" s="43">
        <v>442.82443000000001</v>
      </c>
      <c r="X16" s="43">
        <v>12264.672850000001</v>
      </c>
      <c r="Y16" s="43">
        <v>21578.171880000002</v>
      </c>
      <c r="Z16" s="43">
        <v>32893.789060000003</v>
      </c>
      <c r="AA16" s="43">
        <v>45590.972659999999</v>
      </c>
      <c r="AB16" s="64">
        <f>GROWTH(O16:AA16, O11:AA11,AB11,TRUE)</f>
        <v>58787.414151160672</v>
      </c>
      <c r="AC16" s="64">
        <f t="shared" ref="AC16:AP16" si="8">GROWTH(P16:AB16, P11:AB11,AC11,TRUE)</f>
        <v>175481.18757144414</v>
      </c>
      <c r="AD16" s="64">
        <f t="shared" si="8"/>
        <v>534595.43025080988</v>
      </c>
      <c r="AE16" s="64">
        <f t="shared" si="8"/>
        <v>1603702.6008766547</v>
      </c>
      <c r="AF16" s="64">
        <f>GROWTH(S16:AE16, S11:AE11,AF11,TRUE)</f>
        <v>5144038.8351571159</v>
      </c>
      <c r="AG16" s="64">
        <f t="shared" si="8"/>
        <v>15559949.56950728</v>
      </c>
      <c r="AH16" s="64">
        <f t="shared" si="8"/>
        <v>42124201.922749318</v>
      </c>
      <c r="AI16" s="64">
        <f t="shared" si="8"/>
        <v>93730008.157087982</v>
      </c>
      <c r="AJ16" s="64">
        <f t="shared" si="8"/>
        <v>187227332.56024718</v>
      </c>
      <c r="AK16" s="64">
        <f t="shared" si="8"/>
        <v>370891886.16920781</v>
      </c>
      <c r="AL16" s="64">
        <f t="shared" si="8"/>
        <v>1043450649.722174</v>
      </c>
      <c r="AM16" s="64">
        <f t="shared" si="8"/>
        <v>3025334274.1807289</v>
      </c>
      <c r="AN16" s="64">
        <f t="shared" si="8"/>
        <v>8716886362.0853863</v>
      </c>
      <c r="AO16" s="64">
        <f t="shared" si="8"/>
        <v>23862371925.729919</v>
      </c>
      <c r="AP16" s="64">
        <f t="shared" si="8"/>
        <v>58577878091.984863</v>
      </c>
    </row>
    <row r="18" spans="1:27" ht="15" customHeight="1" x14ac:dyDescent="0.2">
      <c r="A18" s="74" t="s">
        <v>182</v>
      </c>
      <c r="B18" s="74"/>
      <c r="C18" s="74"/>
      <c r="D18" s="74"/>
      <c r="E18" s="74"/>
      <c r="F18" s="74"/>
      <c r="G18" s="74"/>
      <c r="H18" s="74"/>
    </row>
    <row r="19" spans="1:27" x14ac:dyDescent="0.2">
      <c r="A19" s="74"/>
      <c r="B19" s="74"/>
      <c r="C19" s="74"/>
      <c r="D19" s="74"/>
      <c r="E19" s="74"/>
      <c r="F19" s="74"/>
      <c r="G19" s="74"/>
      <c r="H19" s="74"/>
    </row>
    <row r="20" spans="1:27" x14ac:dyDescent="0.2">
      <c r="A20" s="74"/>
      <c r="B20" s="74"/>
      <c r="C20" s="74"/>
      <c r="D20" s="74"/>
      <c r="E20" s="74"/>
      <c r="F20" s="74"/>
      <c r="G20" s="74"/>
      <c r="H20" s="74"/>
    </row>
    <row r="21" spans="1:27" x14ac:dyDescent="0.2">
      <c r="A21" s="74"/>
      <c r="B21" s="74"/>
      <c r="C21" s="74"/>
      <c r="D21" s="74"/>
      <c r="E21" s="74"/>
      <c r="F21" s="74"/>
      <c r="G21" s="74"/>
      <c r="H21" s="74"/>
    </row>
    <row r="22" spans="1:27" ht="6.75" customHeight="1" x14ac:dyDescent="0.2">
      <c r="A22" s="74"/>
      <c r="B22" s="74"/>
      <c r="C22" s="74"/>
      <c r="D22" s="74"/>
      <c r="E22" s="74"/>
      <c r="F22" s="74"/>
      <c r="G22" s="74"/>
      <c r="H22" s="74"/>
    </row>
    <row r="23" spans="1:27" ht="2.25" customHeight="1" x14ac:dyDescent="0.2">
      <c r="A23" s="74"/>
      <c r="B23" s="74"/>
      <c r="C23" s="74"/>
      <c r="D23" s="74"/>
      <c r="E23" s="74"/>
      <c r="F23" s="74"/>
      <c r="G23" s="74"/>
      <c r="H23" s="74"/>
    </row>
    <row r="24" spans="1:27" ht="4.5" customHeight="1" x14ac:dyDescent="0.2">
      <c r="A24" s="74"/>
      <c r="B24" s="74"/>
      <c r="C24" s="74"/>
      <c r="D24" s="74"/>
      <c r="E24" s="74"/>
      <c r="F24" s="74"/>
      <c r="G24" s="74"/>
      <c r="H24" s="74"/>
    </row>
    <row r="25" spans="1:27" x14ac:dyDescent="0.2">
      <c r="A25" s="74" t="s">
        <v>183</v>
      </c>
      <c r="B25" s="74"/>
      <c r="C25" s="74"/>
      <c r="D25" s="74"/>
      <c r="E25" s="74"/>
      <c r="F25" s="74"/>
    </row>
    <row r="26" spans="1:27" x14ac:dyDescent="0.2">
      <c r="A26" s="74"/>
      <c r="B26" s="74"/>
      <c r="C26" s="74"/>
      <c r="D26" s="74"/>
      <c r="E26" s="74"/>
      <c r="F26" s="74"/>
    </row>
    <row r="30" spans="1:27" x14ac:dyDescent="0.2">
      <c r="A30" t="s">
        <v>34</v>
      </c>
      <c r="B30">
        <v>1990</v>
      </c>
      <c r="C30">
        <v>1991</v>
      </c>
      <c r="D30">
        <v>1992</v>
      </c>
      <c r="E30">
        <v>1993</v>
      </c>
      <c r="F30">
        <v>1994</v>
      </c>
      <c r="G30">
        <v>1995</v>
      </c>
      <c r="H30">
        <v>1996</v>
      </c>
      <c r="I30">
        <v>1997</v>
      </c>
      <c r="J30">
        <v>1998</v>
      </c>
      <c r="K30">
        <v>1999</v>
      </c>
      <c r="L30">
        <v>2000</v>
      </c>
      <c r="M30">
        <v>2001</v>
      </c>
      <c r="N30">
        <v>2002</v>
      </c>
      <c r="O30">
        <v>2003</v>
      </c>
      <c r="P30">
        <v>2004</v>
      </c>
      <c r="Q30">
        <v>2005</v>
      </c>
      <c r="R30">
        <v>2006</v>
      </c>
      <c r="S30">
        <v>2007</v>
      </c>
      <c r="T30">
        <v>2008</v>
      </c>
      <c r="U30">
        <v>2009</v>
      </c>
      <c r="V30">
        <v>2010</v>
      </c>
      <c r="W30">
        <v>2011</v>
      </c>
      <c r="X30">
        <v>2012</v>
      </c>
      <c r="Y30">
        <v>2013</v>
      </c>
      <c r="Z30">
        <v>2014</v>
      </c>
      <c r="AA30">
        <v>2015</v>
      </c>
    </row>
    <row r="31" spans="1:27" x14ac:dyDescent="0.2">
      <c r="A31" t="s">
        <v>49</v>
      </c>
      <c r="B31">
        <v>25</v>
      </c>
    </row>
    <row r="32" spans="1:27" x14ac:dyDescent="0.2">
      <c r="A32" t="s">
        <v>51</v>
      </c>
    </row>
    <row r="33" spans="1:42" x14ac:dyDescent="0.2">
      <c r="A33" t="s">
        <v>38</v>
      </c>
      <c r="B33" s="19">
        <v>9549561</v>
      </c>
      <c r="C33" s="19">
        <v>10272354</v>
      </c>
      <c r="D33" s="19">
        <v>11049856</v>
      </c>
      <c r="E33" s="19">
        <v>11886204</v>
      </c>
      <c r="F33" s="19">
        <v>12785857</v>
      </c>
      <c r="G33" s="19">
        <v>13753602</v>
      </c>
      <c r="H33" s="19">
        <v>14794592</v>
      </c>
      <c r="I33" s="19">
        <v>15914375</v>
      </c>
      <c r="J33" s="19">
        <v>17118912</v>
      </c>
      <c r="K33" s="19">
        <v>18414620</v>
      </c>
      <c r="L33" s="19">
        <v>19808398</v>
      </c>
      <c r="M33" s="19">
        <v>21307672</v>
      </c>
      <c r="N33" s="19">
        <v>22920420</v>
      </c>
      <c r="O33" s="19">
        <v>24655236</v>
      </c>
      <c r="P33" s="19">
        <v>26521360</v>
      </c>
      <c r="Q33" s="19">
        <v>28528724</v>
      </c>
      <c r="R33" s="19">
        <v>30688026</v>
      </c>
      <c r="S33" s="19">
        <v>33010762</v>
      </c>
      <c r="T33" s="19">
        <v>35509304</v>
      </c>
      <c r="U33" s="19">
        <v>38196952</v>
      </c>
      <c r="V33" s="19">
        <v>41088028</v>
      </c>
      <c r="W33" s="19">
        <v>44197932</v>
      </c>
      <c r="X33" s="19">
        <v>47543216</v>
      </c>
      <c r="Y33" s="19">
        <v>51141696</v>
      </c>
      <c r="Z33" s="19">
        <v>55012544</v>
      </c>
      <c r="AA33" s="19">
        <v>59176364</v>
      </c>
    </row>
    <row r="34" spans="1:42" x14ac:dyDescent="0.2">
      <c r="A34" t="s">
        <v>39</v>
      </c>
      <c r="B34" s="19">
        <v>6366374</v>
      </c>
      <c r="C34" s="19">
        <v>6848236.5</v>
      </c>
      <c r="D34" s="19">
        <v>7366571</v>
      </c>
      <c r="E34" s="19">
        <v>7924136</v>
      </c>
      <c r="F34" s="19">
        <v>8523904</v>
      </c>
      <c r="G34" s="19">
        <v>9169068</v>
      </c>
      <c r="H34" s="19">
        <v>9863061</v>
      </c>
      <c r="I34" s="19">
        <v>10609584</v>
      </c>
      <c r="J34" s="19">
        <v>11412608</v>
      </c>
      <c r="K34" s="19">
        <v>12276414</v>
      </c>
      <c r="L34" s="19">
        <v>13205598</v>
      </c>
      <c r="M34" s="19">
        <v>14205115</v>
      </c>
      <c r="N34" s="19">
        <v>15280280</v>
      </c>
      <c r="O34" s="19">
        <v>16436825</v>
      </c>
      <c r="P34" s="19">
        <v>17680906</v>
      </c>
      <c r="Q34" s="19">
        <v>19019150</v>
      </c>
      <c r="R34" s="19">
        <v>20458684</v>
      </c>
      <c r="S34" s="19">
        <v>22007174</v>
      </c>
      <c r="T34" s="19">
        <v>23672868</v>
      </c>
      <c r="U34" s="19">
        <v>25464636</v>
      </c>
      <c r="V34" s="19">
        <v>27392020</v>
      </c>
      <c r="W34" s="19">
        <v>29465288</v>
      </c>
      <c r="X34" s="19">
        <v>31695478</v>
      </c>
      <c r="Y34" s="19">
        <v>34094464</v>
      </c>
      <c r="Z34" s="19">
        <v>36675028</v>
      </c>
      <c r="AA34" s="19">
        <v>39450908</v>
      </c>
    </row>
    <row r="35" spans="1:42" x14ac:dyDescent="0.2">
      <c r="A35" t="s">
        <v>40</v>
      </c>
      <c r="B35" s="19">
        <v>30065012</v>
      </c>
      <c r="C35" s="19">
        <v>31688984</v>
      </c>
      <c r="D35" s="19">
        <v>33466018</v>
      </c>
      <c r="E35" s="19">
        <v>34121988</v>
      </c>
      <c r="F35" s="19">
        <v>35061356</v>
      </c>
      <c r="G35" s="19">
        <v>36634992</v>
      </c>
      <c r="H35" s="19">
        <v>38497620</v>
      </c>
      <c r="I35" s="19">
        <v>40561368</v>
      </c>
      <c r="J35" s="19">
        <v>42798456</v>
      </c>
      <c r="K35" s="19">
        <v>45215608</v>
      </c>
      <c r="L35" s="19">
        <v>47789224</v>
      </c>
      <c r="M35" s="19">
        <v>50511736</v>
      </c>
      <c r="N35" s="19">
        <v>53385296</v>
      </c>
      <c r="O35" s="19">
        <v>56381784</v>
      </c>
      <c r="P35" s="19">
        <v>59369680</v>
      </c>
      <c r="Q35" s="19">
        <v>62413884</v>
      </c>
      <c r="R35" s="19">
        <v>65590688</v>
      </c>
      <c r="S35" s="19">
        <v>68945512</v>
      </c>
      <c r="T35" s="19">
        <v>72524576</v>
      </c>
      <c r="U35" s="19">
        <v>76425384</v>
      </c>
      <c r="V35" s="19">
        <v>80613224</v>
      </c>
      <c r="W35" s="19">
        <v>85062728</v>
      </c>
      <c r="X35" s="19">
        <v>89772832</v>
      </c>
      <c r="Y35" s="19">
        <v>94726880</v>
      </c>
      <c r="Z35" s="19">
        <v>99807328</v>
      </c>
      <c r="AA35" s="19">
        <v>105026616</v>
      </c>
    </row>
    <row r="36" spans="1:42" x14ac:dyDescent="0.2">
      <c r="A36" t="s">
        <v>41</v>
      </c>
      <c r="B36" s="19">
        <v>86044440</v>
      </c>
      <c r="C36" s="19">
        <v>89426808</v>
      </c>
      <c r="D36" s="19">
        <v>93047856</v>
      </c>
      <c r="E36" s="19">
        <v>96745912</v>
      </c>
      <c r="F36" s="19">
        <v>100416496</v>
      </c>
      <c r="G36" s="19">
        <v>104001384</v>
      </c>
      <c r="H36" s="19">
        <v>107454648</v>
      </c>
      <c r="I36" s="19">
        <v>110732008</v>
      </c>
      <c r="J36" s="19">
        <v>113790832</v>
      </c>
      <c r="K36" s="19">
        <v>116590504</v>
      </c>
      <c r="L36" s="19">
        <v>119092904</v>
      </c>
      <c r="M36" s="19">
        <v>121262912</v>
      </c>
      <c r="N36" s="19">
        <v>123068992</v>
      </c>
      <c r="O36" s="19">
        <v>124483760</v>
      </c>
      <c r="P36" s="19">
        <v>125484384</v>
      </c>
      <c r="Q36" s="19">
        <v>126053328</v>
      </c>
      <c r="R36" s="19">
        <v>126178416</v>
      </c>
      <c r="S36" s="19">
        <v>125853328</v>
      </c>
      <c r="T36" s="19">
        <v>125077632</v>
      </c>
      <c r="U36" s="19">
        <v>123856784</v>
      </c>
      <c r="V36" s="19">
        <v>122202080</v>
      </c>
      <c r="W36" s="19">
        <v>118862976</v>
      </c>
      <c r="X36" s="19">
        <v>115462760</v>
      </c>
      <c r="Y36" s="19">
        <v>112439504</v>
      </c>
      <c r="Z36" s="19">
        <v>109277624</v>
      </c>
      <c r="AA36" s="19">
        <v>105864024</v>
      </c>
    </row>
    <row r="39" spans="1:42" x14ac:dyDescent="0.2">
      <c r="A39" t="s">
        <v>67</v>
      </c>
    </row>
    <row r="40" spans="1:42" x14ac:dyDescent="0.2">
      <c r="A40" t="s">
        <v>68</v>
      </c>
    </row>
    <row r="41" spans="1:42" x14ac:dyDescent="0.2">
      <c r="A41" t="s">
        <v>38</v>
      </c>
      <c r="B41" s="40">
        <f>B4/B8</f>
        <v>0.87088552620001669</v>
      </c>
      <c r="C41" s="40">
        <f t="shared" ref="C41:AA41" si="9">C4/C8</f>
        <v>0.83154954770684464</v>
      </c>
      <c r="D41" s="40">
        <f t="shared" si="9"/>
        <v>0.75229378045525119</v>
      </c>
      <c r="E41" s="40">
        <f t="shared" si="9"/>
        <v>0.70753417452276091</v>
      </c>
      <c r="F41" s="40">
        <f t="shared" si="9"/>
        <v>0.65572819357234813</v>
      </c>
      <c r="G41" s="40">
        <f t="shared" si="9"/>
        <v>0.55514135156757216</v>
      </c>
      <c r="H41" s="40">
        <f t="shared" si="9"/>
        <v>0.62209969718574543</v>
      </c>
      <c r="I41" s="40">
        <f t="shared" si="9"/>
        <v>0.67110128468471253</v>
      </c>
      <c r="J41" s="40">
        <f t="shared" si="9"/>
        <v>0.67929237414083521</v>
      </c>
      <c r="K41" s="40">
        <f t="shared" si="9"/>
        <v>0.62906474825415148</v>
      </c>
      <c r="L41" s="40">
        <f t="shared" si="9"/>
        <v>0.64181636567942224</v>
      </c>
      <c r="M41" s="40">
        <f t="shared" si="9"/>
        <v>0.49329138875740713</v>
      </c>
      <c r="N41" s="40">
        <f t="shared" si="9"/>
        <v>0.57620187490625563</v>
      </c>
      <c r="O41" s="40">
        <f t="shared" si="9"/>
        <v>0.43470305840484474</v>
      </c>
      <c r="P41" s="40">
        <f t="shared" si="9"/>
        <v>0.33693492022880545</v>
      </c>
      <c r="Q41" s="40">
        <f t="shared" si="9"/>
        <v>0.29164216542801646</v>
      </c>
      <c r="R41" s="40">
        <f t="shared" si="9"/>
        <v>0.49559536253504738</v>
      </c>
      <c r="S41" s="40">
        <f t="shared" si="9"/>
        <v>0.69772033865044647</v>
      </c>
      <c r="T41" s="40">
        <f t="shared" si="9"/>
        <v>0.31451103365435151</v>
      </c>
      <c r="U41" s="40">
        <f t="shared" si="9"/>
        <v>0.61655919593564501</v>
      </c>
      <c r="V41" s="40">
        <f t="shared" si="9"/>
        <v>0.67259247571590741</v>
      </c>
      <c r="W41" s="40">
        <f t="shared" si="9"/>
        <v>0.62672440890841596</v>
      </c>
      <c r="X41" s="40">
        <f t="shared" si="9"/>
        <v>0.75325320699352027</v>
      </c>
      <c r="Y41" s="40">
        <f t="shared" si="9"/>
        <v>0.65001281313221448</v>
      </c>
      <c r="Z41" s="40">
        <f t="shared" si="9"/>
        <v>0.72760678040356075</v>
      </c>
      <c r="AA41" s="40">
        <f t="shared" si="9"/>
        <v>0.78030545161131781</v>
      </c>
      <c r="AB41" s="57">
        <f>TREND(B41:AA41,B1:AA1,AB1,TRUE)</f>
        <v>0.56420568516918834</v>
      </c>
      <c r="AC41" s="57">
        <f t="shared" ref="AC41:AP41" si="10">TREND(C41:AB41,C1:AB1,AC1,TRUE)</f>
        <v>0.5775675141979697</v>
      </c>
      <c r="AD41" s="57">
        <f t="shared" si="10"/>
        <v>0.59242695423205027</v>
      </c>
      <c r="AE41" s="57">
        <f t="shared" si="10"/>
        <v>0.60508872232516553</v>
      </c>
      <c r="AF41" s="57">
        <f t="shared" si="10"/>
        <v>0.61731793631740528</v>
      </c>
      <c r="AG41" s="57">
        <f t="shared" si="10"/>
        <v>0.62791093366223993</v>
      </c>
      <c r="AH41" s="57">
        <f t="shared" si="10"/>
        <v>0.63182223581591401</v>
      </c>
      <c r="AI41" s="57">
        <f t="shared" si="10"/>
        <v>0.64143227655022983</v>
      </c>
      <c r="AJ41" s="57">
        <f t="shared" si="10"/>
        <v>0.65665271381007351</v>
      </c>
      <c r="AK41" s="57">
        <f t="shared" si="10"/>
        <v>0.67519431843042987</v>
      </c>
      <c r="AL41" s="57">
        <f t="shared" si="10"/>
        <v>0.69247015593442818</v>
      </c>
      <c r="AM41" s="57">
        <f t="shared" si="10"/>
        <v>0.71307660406174378</v>
      </c>
      <c r="AN41" s="57">
        <f t="shared" si="10"/>
        <v>0.72358970351762508</v>
      </c>
      <c r="AO41" s="57">
        <f t="shared" si="10"/>
        <v>0.74083447355519638</v>
      </c>
      <c r="AP41" s="57">
        <f t="shared" si="10"/>
        <v>0.74718111483586469</v>
      </c>
    </row>
    <row r="42" spans="1:42" x14ac:dyDescent="0.2">
      <c r="A42" t="s">
        <v>39</v>
      </c>
      <c r="B42" s="40">
        <f>B5/B8</f>
        <v>6.8633135360408562E-2</v>
      </c>
      <c r="C42" s="40">
        <f t="shared" ref="C42:Z42" si="11">C5/C8</f>
        <v>0.16845045229315536</v>
      </c>
      <c r="D42" s="40">
        <f t="shared" si="11"/>
        <v>0.20586185190068773</v>
      </c>
      <c r="E42" s="40">
        <f t="shared" si="11"/>
        <v>0.19361357576472246</v>
      </c>
      <c r="F42" s="40">
        <f t="shared" si="11"/>
        <v>0.10928802371448611</v>
      </c>
      <c r="G42" s="40">
        <f t="shared" si="11"/>
        <v>0.17580166092395899</v>
      </c>
      <c r="H42" s="40">
        <f t="shared" si="11"/>
        <v>0.18090732422491326</v>
      </c>
      <c r="I42" s="40">
        <f t="shared" si="11"/>
        <v>0.2580533370821313</v>
      </c>
      <c r="J42" s="40">
        <f t="shared" si="11"/>
        <v>0.26120297634214862</v>
      </c>
      <c r="K42" s="40">
        <f t="shared" si="11"/>
        <v>0.24188935388348501</v>
      </c>
      <c r="L42" s="40">
        <f t="shared" si="11"/>
        <v>0.24679260786536159</v>
      </c>
      <c r="M42" s="40">
        <f t="shared" si="11"/>
        <v>0.18968147866210677</v>
      </c>
      <c r="N42" s="40">
        <f t="shared" si="11"/>
        <v>0.10806188666206291</v>
      </c>
      <c r="O42" s="40">
        <f t="shared" si="11"/>
        <v>8.1524961185766673E-2</v>
      </c>
      <c r="P42" s="40">
        <f t="shared" si="11"/>
        <v>6.3189349731517297E-2</v>
      </c>
      <c r="Q42" s="40">
        <f t="shared" si="11"/>
        <v>5.4695073208809848E-2</v>
      </c>
      <c r="R42" s="40">
        <f t="shared" si="11"/>
        <v>9.2944803251845912E-2</v>
      </c>
      <c r="S42" s="40">
        <f t="shared" si="11"/>
        <v>9.4417817115187763E-2</v>
      </c>
      <c r="T42" s="40">
        <f t="shared" si="11"/>
        <v>2.4491982590997063E-2</v>
      </c>
      <c r="U42" s="40">
        <f t="shared" si="11"/>
        <v>0.13677049403845046</v>
      </c>
      <c r="V42" s="40">
        <f t="shared" si="11"/>
        <v>2.8855048973841255E-2</v>
      </c>
      <c r="W42" s="40">
        <f t="shared" si="11"/>
        <v>1.6146195470231581E-2</v>
      </c>
      <c r="X42" s="40">
        <f t="shared" si="11"/>
        <v>4.7708658801226822E-2</v>
      </c>
      <c r="Y42" s="40">
        <f t="shared" si="11"/>
        <v>4.8136301867174353E-2</v>
      </c>
      <c r="Z42" s="40">
        <f t="shared" si="11"/>
        <v>3.2065852228734933E-2</v>
      </c>
      <c r="AA42" s="40">
        <f>AA5/AA8</f>
        <v>2.1151455511586242E-2</v>
      </c>
      <c r="AB42" s="57">
        <f>TREND(B42:AA42,B1:AA1,AB1,TRUE)</f>
        <v>2.3094166894615853E-2</v>
      </c>
      <c r="AC42" s="57">
        <f t="shared" ref="AC42:AP42" si="12">TREND(C42:AB42,C1:AB1,AC1,TRUE)</f>
        <v>3.48010276802313E-3</v>
      </c>
      <c r="AD42" s="57">
        <f t="shared" si="12"/>
        <v>-1.013150421030673E-2</v>
      </c>
      <c r="AE42" s="57">
        <f t="shared" si="12"/>
        <v>-2.109126537735051E-2</v>
      </c>
      <c r="AF42" s="57">
        <f t="shared" si="12"/>
        <v>-3.2798594919242419E-2</v>
      </c>
      <c r="AG42" s="57">
        <f t="shared" si="12"/>
        <v>-5.1590131879823531E-2</v>
      </c>
      <c r="AH42" s="57">
        <f t="shared" si="12"/>
        <v>-6.6230700071983506E-2</v>
      </c>
      <c r="AI42" s="57">
        <f t="shared" si="12"/>
        <v>-8.0584789675747004E-2</v>
      </c>
      <c r="AJ42" s="57">
        <f t="shared" si="12"/>
        <v>-8.821950096348985E-2</v>
      </c>
      <c r="AK42" s="57">
        <f t="shared" si="12"/>
        <v>-9.363153928148904E-2</v>
      </c>
      <c r="AL42" s="57">
        <f t="shared" si="12"/>
        <v>-9.8314703485112176E-2</v>
      </c>
      <c r="AM42" s="57">
        <f t="shared" si="12"/>
        <v>-0.10019880436317408</v>
      </c>
      <c r="AN42" s="57">
        <f t="shared" si="12"/>
        <v>-0.10410750440290428</v>
      </c>
      <c r="AO42" s="57">
        <f t="shared" si="12"/>
        <v>-0.11297356668544012</v>
      </c>
      <c r="AP42" s="57">
        <f t="shared" si="12"/>
        <v>-0.12353141005803536</v>
      </c>
    </row>
    <row r="43" spans="1:42" x14ac:dyDescent="0.2">
      <c r="A43" t="s">
        <v>40</v>
      </c>
      <c r="B43" s="40">
        <f>B6/B8</f>
        <v>6.0481338439574719E-2</v>
      </c>
      <c r="C43" s="40">
        <f t="shared" ref="C43:AA43" si="13">C6/C8</f>
        <v>0</v>
      </c>
      <c r="D43" s="40">
        <f t="shared" si="13"/>
        <v>4.1844367644061027E-2</v>
      </c>
      <c r="E43" s="40">
        <f t="shared" si="13"/>
        <v>9.8852249712516632E-2</v>
      </c>
      <c r="F43" s="40">
        <f t="shared" si="13"/>
        <v>0.23498378271316575</v>
      </c>
      <c r="G43" s="40">
        <f t="shared" si="13"/>
        <v>0.26905698750846879</v>
      </c>
      <c r="H43" s="40">
        <f t="shared" si="13"/>
        <v>0.19699297858934126</v>
      </c>
      <c r="I43" s="40">
        <f t="shared" si="13"/>
        <v>7.0845378233156231E-2</v>
      </c>
      <c r="J43" s="40">
        <f t="shared" si="13"/>
        <v>5.9504649517016173E-2</v>
      </c>
      <c r="K43" s="40">
        <f t="shared" si="13"/>
        <v>0.12654942885169493</v>
      </c>
      <c r="L43" s="40">
        <f t="shared" si="13"/>
        <v>0.11139102645521638</v>
      </c>
      <c r="M43" s="40">
        <f t="shared" si="13"/>
        <v>0.31702713258048604</v>
      </c>
      <c r="N43" s="40">
        <f t="shared" si="13"/>
        <v>0.31573623843168147</v>
      </c>
      <c r="O43" s="40">
        <f t="shared" si="13"/>
        <v>0.48377198040938862</v>
      </c>
      <c r="P43" s="40">
        <f t="shared" si="13"/>
        <v>0.5998757300396772</v>
      </c>
      <c r="Q43" s="40">
        <f t="shared" si="13"/>
        <v>0.65294606929915067</v>
      </c>
      <c r="R43" s="40">
        <f t="shared" si="13"/>
        <v>0.41145983421310678</v>
      </c>
      <c r="S43" s="40">
        <f t="shared" si="13"/>
        <v>0.2077966721111548</v>
      </c>
      <c r="T43" s="40">
        <f t="shared" si="13"/>
        <v>0.66099698375465143</v>
      </c>
      <c r="U43" s="40">
        <f t="shared" si="13"/>
        <v>0.24548593443326125</v>
      </c>
      <c r="V43" s="40">
        <f t="shared" si="13"/>
        <v>0.29312136742385086</v>
      </c>
      <c r="W43" s="40">
        <f t="shared" si="13"/>
        <v>0.27250765113505115</v>
      </c>
      <c r="X43" s="40">
        <f t="shared" si="13"/>
        <v>0.12413863872169673</v>
      </c>
      <c r="Y43" s="40">
        <f t="shared" si="13"/>
        <v>0.21208146015851875</v>
      </c>
      <c r="Z43" s="40">
        <f t="shared" si="13"/>
        <v>0.15732050158385277</v>
      </c>
      <c r="AA43" s="40">
        <f t="shared" si="13"/>
        <v>0.12012908255437781</v>
      </c>
      <c r="AB43" s="57">
        <f>TREND(B43:AA43,B1:AA1,AB1,TRUE)</f>
        <v>0.35636970622595143</v>
      </c>
      <c r="AC43" s="57">
        <f t="shared" ref="AC43:AP43" si="14">TREND(C43:AB43,C1:AB1,AC1,TRUE)</f>
        <v>0.35783823051538022</v>
      </c>
      <c r="AD43" s="57">
        <f t="shared" si="14"/>
        <v>0.35159070445035567</v>
      </c>
      <c r="AE43" s="57">
        <f t="shared" si="14"/>
        <v>0.34468395161375298</v>
      </c>
      <c r="AF43" s="57">
        <f t="shared" si="14"/>
        <v>0.33876687276382</v>
      </c>
      <c r="AG43" s="57">
        <f t="shared" si="14"/>
        <v>0.34139851353178674</v>
      </c>
      <c r="AH43" s="57">
        <f t="shared" si="14"/>
        <v>0.34641256199979953</v>
      </c>
      <c r="AI43" s="57">
        <f t="shared" si="14"/>
        <v>0.34532164306964486</v>
      </c>
      <c r="AJ43" s="57">
        <f t="shared" si="14"/>
        <v>0.33181553181114287</v>
      </c>
      <c r="AK43" s="57">
        <f t="shared" si="14"/>
        <v>0.312720882824991</v>
      </c>
      <c r="AL43" s="57">
        <f t="shared" si="14"/>
        <v>0.29395112222401121</v>
      </c>
      <c r="AM43" s="57">
        <f t="shared" si="14"/>
        <v>0.26926924574897093</v>
      </c>
      <c r="AN43" s="57">
        <f t="shared" si="14"/>
        <v>0.25682132884453956</v>
      </c>
      <c r="AO43" s="57">
        <f t="shared" si="14"/>
        <v>0.24278797433736266</v>
      </c>
      <c r="AP43" s="57">
        <f t="shared" si="14"/>
        <v>0.2416163976110397</v>
      </c>
    </row>
    <row r="44" spans="1:42" x14ac:dyDescent="0.2">
      <c r="A44" t="s">
        <v>41</v>
      </c>
      <c r="B44" s="40">
        <f>B7/B8</f>
        <v>0</v>
      </c>
      <c r="C44" s="40">
        <f t="shared" ref="C44:Z44" si="15">C7/C8</f>
        <v>0</v>
      </c>
      <c r="D44" s="40">
        <f t="shared" si="15"/>
        <v>0</v>
      </c>
      <c r="E44" s="40">
        <f t="shared" si="15"/>
        <v>0</v>
      </c>
      <c r="F44" s="40">
        <f t="shared" si="15"/>
        <v>0</v>
      </c>
      <c r="G44" s="40">
        <f t="shared" si="15"/>
        <v>0</v>
      </c>
      <c r="H44" s="40">
        <f t="shared" si="15"/>
        <v>0</v>
      </c>
      <c r="I44" s="40">
        <f t="shared" si="15"/>
        <v>0</v>
      </c>
      <c r="J44" s="40">
        <f t="shared" si="15"/>
        <v>0</v>
      </c>
      <c r="K44" s="40">
        <f t="shared" si="15"/>
        <v>2.4964690106686113E-3</v>
      </c>
      <c r="L44" s="40">
        <f t="shared" si="15"/>
        <v>0</v>
      </c>
      <c r="M44" s="40">
        <f t="shared" si="15"/>
        <v>0</v>
      </c>
      <c r="N44" s="40">
        <f t="shared" si="15"/>
        <v>0</v>
      </c>
      <c r="O44" s="40">
        <f t="shared" si="15"/>
        <v>0</v>
      </c>
      <c r="P44" s="40">
        <f t="shared" si="15"/>
        <v>0</v>
      </c>
      <c r="Q44" s="40">
        <f t="shared" si="15"/>
        <v>7.1669206402297139E-4</v>
      </c>
      <c r="R44" s="40">
        <f t="shared" si="15"/>
        <v>0</v>
      </c>
      <c r="S44" s="40">
        <f t="shared" si="15"/>
        <v>6.5172123211033192E-5</v>
      </c>
      <c r="T44" s="40">
        <f t="shared" si="15"/>
        <v>0</v>
      </c>
      <c r="U44" s="40">
        <f t="shared" si="15"/>
        <v>1.1843755926432456E-3</v>
      </c>
      <c r="V44" s="40">
        <f t="shared" si="15"/>
        <v>5.4311078864004792E-3</v>
      </c>
      <c r="W44" s="40">
        <f t="shared" si="15"/>
        <v>8.4621744486301317E-2</v>
      </c>
      <c r="X44" s="40">
        <f t="shared" si="15"/>
        <v>7.4899495483556205E-2</v>
      </c>
      <c r="Y44" s="40">
        <f t="shared" si="15"/>
        <v>8.9769424842092396E-2</v>
      </c>
      <c r="Z44" s="40">
        <f t="shared" si="15"/>
        <v>8.3006865783851663E-2</v>
      </c>
      <c r="AA44" s="40">
        <f>AA7/AA8</f>
        <v>7.8414010322718164E-2</v>
      </c>
      <c r="AB44" s="57">
        <f>TREND(B44:AA44,B1:AA1,AB1,TRUE)</f>
        <v>5.6330441710240819E-2</v>
      </c>
      <c r="AC44" s="57">
        <f t="shared" ref="AC44:AP44" si="16">TREND(C44:AB44,C1:AB1,AC1,TRUE)</f>
        <v>6.1114152518626064E-2</v>
      </c>
      <c r="AD44" s="57">
        <f t="shared" si="16"/>
        <v>6.611384552790156E-2</v>
      </c>
      <c r="AE44" s="57">
        <f t="shared" si="16"/>
        <v>7.1318591438431334E-2</v>
      </c>
      <c r="AF44" s="57">
        <f t="shared" si="16"/>
        <v>7.6713785838014914E-2</v>
      </c>
      <c r="AG44" s="57">
        <f t="shared" si="16"/>
        <v>8.2280684685795968E-2</v>
      </c>
      <c r="AH44" s="57">
        <f t="shared" si="16"/>
        <v>8.7995902256269076E-2</v>
      </c>
      <c r="AI44" s="57">
        <f t="shared" si="16"/>
        <v>9.3830870055869653E-2</v>
      </c>
      <c r="AJ44" s="57">
        <f t="shared" si="16"/>
        <v>9.975125534227125E-2</v>
      </c>
      <c r="AK44" s="57">
        <f t="shared" si="16"/>
        <v>0.10571633802606684</v>
      </c>
      <c r="AL44" s="57">
        <f t="shared" si="16"/>
        <v>0.11189342532667013</v>
      </c>
      <c r="AM44" s="57">
        <f t="shared" si="16"/>
        <v>0.11785295455245759</v>
      </c>
      <c r="AN44" s="57">
        <f t="shared" si="16"/>
        <v>0.12369647204073253</v>
      </c>
      <c r="AO44" s="57">
        <f t="shared" si="16"/>
        <v>0.12935111879287575</v>
      </c>
      <c r="AP44" s="57">
        <f t="shared" si="16"/>
        <v>0.13473389761112742</v>
      </c>
    </row>
    <row r="45" spans="1:42" x14ac:dyDescent="0.2">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7" spans="1:42" x14ac:dyDescent="0.2">
      <c r="A47" s="3" t="s">
        <v>150</v>
      </c>
      <c r="B47" s="19">
        <f>PublicPrivate!B4*'Generation Investment'!B8</f>
        <v>820978591.15314043</v>
      </c>
      <c r="C47" s="19">
        <f>PublicPrivate!C4*'Generation Investment'!C8</f>
        <v>915934426.14146721</v>
      </c>
      <c r="D47" s="19">
        <f>PublicPrivate!D4*'Generation Investment'!D8</f>
        <v>1302759032.2340362</v>
      </c>
      <c r="E47" s="19">
        <f>PublicPrivate!E4*'Generation Investment'!E8</f>
        <v>1464623487.5813324</v>
      </c>
      <c r="F47" s="19">
        <f>PublicPrivate!F4*'Generation Investment'!F8</f>
        <v>2298550249.5637693</v>
      </c>
      <c r="G47" s="19">
        <f>PublicPrivate!G4*'Generation Investment'!G8</f>
        <v>1451374495.0131946</v>
      </c>
      <c r="H47" s="19">
        <f>PublicPrivate!H4*'Generation Investment'!H8</f>
        <v>745886847.67851698</v>
      </c>
      <c r="I47" s="19">
        <f>PublicPrivate!I4*'Generation Investment'!I8</f>
        <v>2213587424.0906577</v>
      </c>
      <c r="J47" s="19">
        <f>PublicPrivate!J4*'Generation Investment'!J8</f>
        <v>2794942721.0697079</v>
      </c>
      <c r="K47" s="19">
        <f>PublicPrivate!K4*'Generation Investment'!K8</f>
        <v>3720593345.9256668</v>
      </c>
      <c r="L47" s="19">
        <f>PublicPrivate!L4*'Generation Investment'!L8</f>
        <v>4385072802.1330338</v>
      </c>
      <c r="M47" s="19">
        <f>PublicPrivate!M4*'Generation Investment'!M8</f>
        <v>6737655587.4172106</v>
      </c>
      <c r="N47" s="19">
        <f>PublicPrivate!N4*'Generation Investment'!N8</f>
        <v>7353292259.7109823</v>
      </c>
      <c r="O47" s="19">
        <f>PublicPrivate!O4*'Generation Investment'!O8</f>
        <v>10730288995.420366</v>
      </c>
      <c r="P47" s="19">
        <f>PublicPrivate!P4*'Generation Investment'!P8</f>
        <v>15479756579.873007</v>
      </c>
      <c r="Q47" s="19">
        <f>PublicPrivate!Q4*'Generation Investment'!Q8</f>
        <v>20373491317.766201</v>
      </c>
      <c r="R47" s="19">
        <f>PublicPrivate!R4*'Generation Investment'!R8</f>
        <v>12661976830.940022</v>
      </c>
      <c r="S47" s="19">
        <f>PublicPrivate!S4*'Generation Investment'!S8</f>
        <v>29267354167.634834</v>
      </c>
      <c r="T47" s="19">
        <f>PublicPrivate!T4*'Generation Investment'!T8</f>
        <v>26385143265.042515</v>
      </c>
      <c r="U47" s="19">
        <f>PublicPrivate!U4*'Generation Investment'!U8</f>
        <v>62739364542.73629</v>
      </c>
      <c r="V47" s="19">
        <f>PublicPrivate!V4*'Generation Investment'!V8</f>
        <v>108082230128.88858</v>
      </c>
      <c r="W47" s="19">
        <f>PublicPrivate!W4*'Generation Investment'!W8</f>
        <v>260670427822.08499</v>
      </c>
      <c r="X47" s="19">
        <f>PublicPrivate!X4*'Generation Investment'!X8</f>
        <v>311917759533.04541</v>
      </c>
      <c r="Y47" s="19">
        <f>PublicPrivate!Y4*'Generation Investment'!Y8</f>
        <v>365118501121.83276</v>
      </c>
      <c r="Z47" s="19">
        <f>PublicPrivate!Z4*'Generation Investment'!Z8</f>
        <v>506472922257.5517</v>
      </c>
      <c r="AA47" s="19">
        <f>PublicPrivate!AA4*'Generation Investment'!AA8</f>
        <v>668179904426.0835</v>
      </c>
      <c r="AB47" s="32">
        <f>PublicPrivate!AB4*'Generation Investment'!AB8</f>
        <v>279126326691.95386</v>
      </c>
      <c r="AC47" s="32">
        <f>PublicPrivate!AC4*'Generation Investment'!AC8</f>
        <v>428964143435.74554</v>
      </c>
      <c r="AD47" s="32">
        <f>PublicPrivate!AD4*'Generation Investment'!AD8</f>
        <v>545868903777.57574</v>
      </c>
      <c r="AE47" s="32">
        <f>PublicPrivate!AE4*'Generation Investment'!AE8</f>
        <v>689648187093.97375</v>
      </c>
      <c r="AF47" s="32">
        <f>PublicPrivate!AF4*'Generation Investment'!AF8</f>
        <v>864747640359.67285</v>
      </c>
      <c r="AG47" s="32">
        <f>PublicPrivate!AG4*'Generation Investment'!AG8</f>
        <v>1075764515763.7815</v>
      </c>
      <c r="AH47" s="32">
        <f>PublicPrivate!AH4*'Generation Investment'!AH8</f>
        <v>1334514998254.321</v>
      </c>
      <c r="AI47" s="32">
        <f>PublicPrivate!AI4*'Generation Investment'!AI8</f>
        <v>1648219050966.5664</v>
      </c>
      <c r="AJ47" s="32">
        <f>PublicPrivate!AJ4*'Generation Investment'!AJ8</f>
        <v>2040896053525.8462</v>
      </c>
      <c r="AK47" s="32">
        <f>PublicPrivate!AK4*'Generation Investment'!AK8</f>
        <v>2529462105085.6338</v>
      </c>
      <c r="AL47" s="32">
        <f>PublicPrivate!AL4*'Generation Investment'!AL8</f>
        <v>3134435294403.1196</v>
      </c>
      <c r="AM47" s="32">
        <f>PublicPrivate!AM4*'Generation Investment'!AM8</f>
        <v>3880269886712.5996</v>
      </c>
      <c r="AN47" s="32">
        <f>PublicPrivate!AN4*'Generation Investment'!AN8</f>
        <v>4795840666929.0947</v>
      </c>
      <c r="AO47" s="32">
        <f>PublicPrivate!AO4*'Generation Investment'!AO8</f>
        <v>5909771422681.833</v>
      </c>
      <c r="AP47" s="32">
        <f>PublicPrivate!AP4*'Generation Investment'!AP8</f>
        <v>7254829117044.2578</v>
      </c>
    </row>
    <row r="48" spans="1:42" x14ac:dyDescent="0.2">
      <c r="A48" s="3" t="s">
        <v>151</v>
      </c>
      <c r="B48" s="19">
        <f>(1-PublicPrivate!B4)*'Generation Investment'!B8</f>
        <v>18565752890.846859</v>
      </c>
      <c r="C48" s="19">
        <f>(1-PublicPrivate!C4)*'Generation Investment'!C8</f>
        <v>21159354591.358532</v>
      </c>
      <c r="D48" s="19">
        <f>(1-PublicPrivate!D4)*'Generation Investment'!D8</f>
        <v>30688182529.765961</v>
      </c>
      <c r="E48" s="19">
        <f>(1-PublicPrivate!E4)*'Generation Investment'!E8</f>
        <v>35124637136.418671</v>
      </c>
      <c r="F48" s="19">
        <f>(1-PublicPrivate!F4)*'Generation Investment'!F8</f>
        <v>56041604282.436226</v>
      </c>
      <c r="G48" s="19">
        <f>(1-PublicPrivate!G4)*'Generation Investment'!G8</f>
        <v>31771840150.986809</v>
      </c>
      <c r="H48" s="19">
        <f>(1-PublicPrivate!H4)*'Generation Investment'!H8</f>
        <v>15282982886.721483</v>
      </c>
      <c r="I48" s="19">
        <f>(1-PublicPrivate!I4)*'Generation Investment'!I8</f>
        <v>35619440845.149361</v>
      </c>
      <c r="J48" s="19">
        <f>(1-PublicPrivate!J4)*'Generation Investment'!J8</f>
        <v>37410885055.730316</v>
      </c>
      <c r="K48" s="19">
        <f>(1-PublicPrivate!K4)*'Generation Investment'!K8</f>
        <v>42981570190.554367</v>
      </c>
      <c r="L48" s="19">
        <f>(1-PublicPrivate!L4)*'Generation Investment'!L8</f>
        <v>44853805885.146996</v>
      </c>
      <c r="M48" s="19">
        <f>(1-PublicPrivate!M4)*'Generation Investment'!M8</f>
        <v>62175487199.102654</v>
      </c>
      <c r="N48" s="19">
        <f>(1-PublicPrivate!N4)*'Generation Investment'!N8</f>
        <v>64168368732.289001</v>
      </c>
      <c r="O48" s="19">
        <f>(1-PublicPrivate!O4)*'Generation Investment'!O8</f>
        <v>91247632417.57962</v>
      </c>
      <c r="P48" s="19">
        <f>(1-PublicPrivate!P4)*'Generation Investment'!P8</f>
        <v>126047293354.92699</v>
      </c>
      <c r="Q48" s="19">
        <f>(1-PublicPrivate!Q4)*'Generation Investment'!Q8</f>
        <v>155508640392.2338</v>
      </c>
      <c r="R48" s="19">
        <f>(1-PublicPrivate!R4)*'Generation Investment'!R8</f>
        <v>98672944597.220047</v>
      </c>
      <c r="S48" s="19">
        <f>(1-PublicPrivate!S4)*'Generation Investment'!S8</f>
        <v>202463616313.36499</v>
      </c>
      <c r="T48" s="19">
        <f>(1-PublicPrivate!T4)*'Generation Investment'!T8</f>
        <v>157647082401.19742</v>
      </c>
      <c r="U48" s="19">
        <f>(1-PublicPrivate!U4)*'Generation Investment'!U8</f>
        <v>343013949612.86389</v>
      </c>
      <c r="V48" s="19">
        <f>(1-PublicPrivate!V4)*'Generation Investment'!V8</f>
        <v>485703229238.47144</v>
      </c>
      <c r="W48" s="19">
        <f>(1-PublicPrivate!W4)*'Generation Investment'!W8</f>
        <v>1016033766847.5151</v>
      </c>
      <c r="X48" s="19">
        <f>(1-PublicPrivate!X4)*'Generation Investment'!X8</f>
        <v>836751744892.23486</v>
      </c>
      <c r="Y48" s="19">
        <f>(1-PublicPrivate!Y4)*'Generation Investment'!Y8</f>
        <v>819142474415.92725</v>
      </c>
      <c r="Z48" s="19">
        <f>(1-PublicPrivate!Z4)*'Generation Investment'!Z8</f>
        <v>957515482140.20813</v>
      </c>
      <c r="AA48" s="19">
        <f>(1-PublicPrivate!AA4)*'Generation Investment'!AA8</f>
        <v>1075535928831.6742</v>
      </c>
      <c r="AB48" s="32">
        <f>(1-PublicPrivate!AB4)*'Generation Investment'!AB8</f>
        <v>779396783010.99976</v>
      </c>
      <c r="AC48" s="32">
        <f>(1-PublicPrivate!AC4)*'Generation Investment'!AC8</f>
        <v>813126529305.78577</v>
      </c>
      <c r="AD48" s="32">
        <f>(1-PublicPrivate!AD4)*'Generation Investment'!AD8</f>
        <v>910238981340.72302</v>
      </c>
      <c r="AE48" s="32">
        <f>(1-PublicPrivate!AE4)*'Generation Investment'!AE8</f>
        <v>1016748000291.7478</v>
      </c>
      <c r="AF48" s="32">
        <f>(1-PublicPrivate!AF4)*'Generation Investment'!AF8</f>
        <v>1135146179388.3135</v>
      </c>
      <c r="AG48" s="32">
        <f>(1-PublicPrivate!AG4)*'Generation Investment'!AG8</f>
        <v>1269105951484.364</v>
      </c>
      <c r="AH48" s="32">
        <f>(1-PublicPrivate!AH4)*'Generation Investment'!AH8</f>
        <v>1416668202796.011</v>
      </c>
      <c r="AI48" s="32">
        <f>(1-PublicPrivate!AI4)*'Generation Investment'!AI8</f>
        <v>1582362614371.9761</v>
      </c>
      <c r="AJ48" s="32">
        <f>(1-PublicPrivate!AJ4)*'Generation Investment'!AJ8</f>
        <v>1756175936592.2163</v>
      </c>
      <c r="AK48" s="32">
        <f>(1-PublicPrivate!AK4)*'Generation Investment'!AK8</f>
        <v>1937888630697.3586</v>
      </c>
      <c r="AL48" s="32">
        <f>(1-PublicPrivate!AL4)*'Generation Investment'!AL8</f>
        <v>2126887058087.863</v>
      </c>
      <c r="AM48" s="32">
        <f>(1-PublicPrivate!AM4)*'Generation Investment'!AM8</f>
        <v>2322446347173.7832</v>
      </c>
      <c r="AN48" s="32">
        <f>(1-PublicPrivate!AN4)*'Generation Investment'!AN8</f>
        <v>2523981874373.5752</v>
      </c>
      <c r="AO48" s="32">
        <f>(1-PublicPrivate!AO4)*'Generation Investment'!AO8</f>
        <v>2736598244898.269</v>
      </c>
      <c r="AP48" s="32">
        <f>(1-PublicPrivate!AP4)*'Generation Investment'!AP8</f>
        <v>2967741496894.1953</v>
      </c>
    </row>
    <row r="49" spans="1:42" x14ac:dyDescent="0.2">
      <c r="A49" s="3" t="s">
        <v>66</v>
      </c>
      <c r="B49" s="19">
        <f>B47+B48</f>
        <v>19386731482</v>
      </c>
      <c r="C49" s="19">
        <f t="shared" ref="C49:AP49" si="17">C47+C48</f>
        <v>22075289017.5</v>
      </c>
      <c r="D49" s="19">
        <f t="shared" si="17"/>
        <v>31990941561.999996</v>
      </c>
      <c r="E49" s="19">
        <f t="shared" si="17"/>
        <v>36589260624</v>
      </c>
      <c r="F49" s="19">
        <f t="shared" si="17"/>
        <v>58340154531.999992</v>
      </c>
      <c r="G49" s="19">
        <f t="shared" si="17"/>
        <v>33223214646.000004</v>
      </c>
      <c r="H49" s="19">
        <f t="shared" si="17"/>
        <v>16028869734.4</v>
      </c>
      <c r="I49" s="19">
        <f t="shared" si="17"/>
        <v>37833028269.240021</v>
      </c>
      <c r="J49" s="19">
        <f t="shared" si="17"/>
        <v>40205827776.800026</v>
      </c>
      <c r="K49" s="19">
        <f t="shared" si="17"/>
        <v>46702163536.480034</v>
      </c>
      <c r="L49" s="19">
        <f t="shared" si="17"/>
        <v>49238878687.280029</v>
      </c>
      <c r="M49" s="19">
        <f t="shared" si="17"/>
        <v>68913142786.519867</v>
      </c>
      <c r="N49" s="19">
        <f t="shared" si="17"/>
        <v>71521660991.999985</v>
      </c>
      <c r="O49" s="19">
        <f t="shared" si="17"/>
        <v>101977921412.99998</v>
      </c>
      <c r="P49" s="19">
        <f t="shared" si="17"/>
        <v>141527049934.79999</v>
      </c>
      <c r="Q49" s="19">
        <f t="shared" si="17"/>
        <v>175882131710</v>
      </c>
      <c r="R49" s="19">
        <f t="shared" si="17"/>
        <v>111334921428.16006</v>
      </c>
      <c r="S49" s="19">
        <f t="shared" si="17"/>
        <v>231730970480.99982</v>
      </c>
      <c r="T49" s="19">
        <f t="shared" si="17"/>
        <v>184032225666.23993</v>
      </c>
      <c r="U49" s="19">
        <f t="shared" si="17"/>
        <v>405753314155.60016</v>
      </c>
      <c r="V49" s="19">
        <f t="shared" si="17"/>
        <v>593785459367.35999</v>
      </c>
      <c r="W49" s="19">
        <f t="shared" si="17"/>
        <v>1276704194669.6001</v>
      </c>
      <c r="X49" s="19">
        <f t="shared" si="17"/>
        <v>1148669504425.2803</v>
      </c>
      <c r="Y49" s="19">
        <f t="shared" si="17"/>
        <v>1184260975537.76</v>
      </c>
      <c r="Z49" s="19">
        <f t="shared" si="17"/>
        <v>1463988404397.7598</v>
      </c>
      <c r="AA49" s="19">
        <f t="shared" si="17"/>
        <v>1743715833257.7578</v>
      </c>
      <c r="AB49" s="32">
        <f t="shared" si="17"/>
        <v>1058523109702.9536</v>
      </c>
      <c r="AC49" s="32">
        <f t="shared" si="17"/>
        <v>1242090672741.5312</v>
      </c>
      <c r="AD49" s="32">
        <f t="shared" si="17"/>
        <v>1456107885118.2988</v>
      </c>
      <c r="AE49" s="32">
        <f t="shared" si="17"/>
        <v>1706396187385.7217</v>
      </c>
      <c r="AF49" s="32">
        <f t="shared" si="17"/>
        <v>1999893819747.9863</v>
      </c>
      <c r="AG49" s="32">
        <f t="shared" si="17"/>
        <v>2344870467248.1455</v>
      </c>
      <c r="AH49" s="32">
        <f t="shared" si="17"/>
        <v>2751183201050.332</v>
      </c>
      <c r="AI49" s="32">
        <f t="shared" si="17"/>
        <v>3230581665338.5425</v>
      </c>
      <c r="AJ49" s="32">
        <f t="shared" si="17"/>
        <v>3797071990118.0625</v>
      </c>
      <c r="AK49" s="32">
        <f t="shared" si="17"/>
        <v>4467350735782.9922</v>
      </c>
      <c r="AL49" s="32">
        <f t="shared" si="17"/>
        <v>5261322352490.9824</v>
      </c>
      <c r="AM49" s="32">
        <f t="shared" si="17"/>
        <v>6202716233886.3828</v>
      </c>
      <c r="AN49" s="32">
        <f t="shared" si="17"/>
        <v>7319822541302.6699</v>
      </c>
      <c r="AO49" s="32">
        <f t="shared" si="17"/>
        <v>8646369667580.1016</v>
      </c>
      <c r="AP49" s="32">
        <f t="shared" si="17"/>
        <v>10222570613938.453</v>
      </c>
    </row>
    <row r="50" spans="1:42" x14ac:dyDescent="0.2">
      <c r="A50" s="3"/>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42" x14ac:dyDescent="0.2">
      <c r="A51" t="s">
        <v>178</v>
      </c>
      <c r="B51" s="49">
        <v>0.99965999999999999</v>
      </c>
      <c r="C51" s="49">
        <v>0.98467000000000005</v>
      </c>
      <c r="D51" s="49">
        <v>0.96997999999999995</v>
      </c>
      <c r="E51" s="49">
        <v>0.96164000000000005</v>
      </c>
      <c r="F51" s="49">
        <v>0.94589999999999996</v>
      </c>
      <c r="G51" s="49">
        <v>0.97326000000000001</v>
      </c>
      <c r="H51" s="49">
        <v>1.00173</v>
      </c>
      <c r="I51" s="49">
        <v>0.96984999999999999</v>
      </c>
      <c r="J51" s="49">
        <v>0.96665000000000001</v>
      </c>
      <c r="K51" s="49">
        <v>0.96458999999999995</v>
      </c>
      <c r="L51" s="49">
        <v>0.96343000000000001</v>
      </c>
      <c r="M51" s="49">
        <v>0.95515000000000005</v>
      </c>
      <c r="N51" s="49">
        <v>0.95777999999999996</v>
      </c>
      <c r="O51" s="49">
        <v>0.94823999999999997</v>
      </c>
      <c r="P51" s="49">
        <v>0.93979999999999997</v>
      </c>
      <c r="Q51" s="49">
        <v>0.93454000000000004</v>
      </c>
      <c r="R51" s="49">
        <v>0.95043</v>
      </c>
      <c r="S51" s="49">
        <v>0.93271000000000004</v>
      </c>
      <c r="T51" s="49">
        <v>0.93293000000000004</v>
      </c>
      <c r="U51" s="49">
        <v>0.90275000000000005</v>
      </c>
      <c r="V51" s="49">
        <v>0.90092000000000005</v>
      </c>
      <c r="W51" s="49">
        <v>0.88016000000000005</v>
      </c>
      <c r="X51" s="49">
        <v>0.90129999999999999</v>
      </c>
      <c r="Y51" s="49">
        <v>0.90278000000000003</v>
      </c>
      <c r="Z51" s="49">
        <v>0.88075000000000003</v>
      </c>
      <c r="AA51" s="49">
        <v>0.87521000000000004</v>
      </c>
    </row>
    <row r="52" spans="1:42" x14ac:dyDescent="0.2">
      <c r="A52" s="3" t="s">
        <v>179</v>
      </c>
      <c r="B52" s="19">
        <f>B48/B51</f>
        <v>18572067393.760738</v>
      </c>
      <c r="C52" s="19">
        <f t="shared" ref="C52:AA52" si="18">C48/C51</f>
        <v>21488777551.218716</v>
      </c>
      <c r="D52" s="19">
        <f t="shared" si="18"/>
        <v>31637953906.024826</v>
      </c>
      <c r="E52" s="19">
        <f t="shared" si="18"/>
        <v>36525765501.038506</v>
      </c>
      <c r="F52" s="19">
        <f t="shared" si="18"/>
        <v>59246859374.602211</v>
      </c>
      <c r="G52" s="19">
        <f t="shared" si="18"/>
        <v>32644761061.778774</v>
      </c>
      <c r="H52" s="19">
        <f t="shared" si="18"/>
        <v>15256588987.772636</v>
      </c>
      <c r="I52" s="19">
        <f t="shared" si="18"/>
        <v>36726752430.942268</v>
      </c>
      <c r="J52" s="19">
        <f t="shared" si="18"/>
        <v>38701582843.563148</v>
      </c>
      <c r="K52" s="19">
        <f t="shared" si="18"/>
        <v>44559419225.323059</v>
      </c>
      <c r="L52" s="19">
        <f t="shared" si="18"/>
        <v>46556372424.718971</v>
      </c>
      <c r="M52" s="19">
        <f t="shared" si="18"/>
        <v>65094997852.800766</v>
      </c>
      <c r="N52" s="19">
        <f t="shared" si="18"/>
        <v>66996981282.015709</v>
      </c>
      <c r="O52" s="19">
        <f t="shared" si="18"/>
        <v>96228415187.694702</v>
      </c>
      <c r="P52" s="19">
        <f t="shared" si="18"/>
        <v>134121401739.65417</v>
      </c>
      <c r="Q52" s="19">
        <f t="shared" si="18"/>
        <v>166401267353.17245</v>
      </c>
      <c r="R52" s="19">
        <f t="shared" si="18"/>
        <v>103819265592.64758</v>
      </c>
      <c r="S52" s="19">
        <f t="shared" si="18"/>
        <v>217070275126.63635</v>
      </c>
      <c r="T52" s="19">
        <f t="shared" si="18"/>
        <v>168980612051.49091</v>
      </c>
      <c r="U52" s="19">
        <f t="shared" si="18"/>
        <v>379965604666.7005</v>
      </c>
      <c r="V52" s="19">
        <f t="shared" si="18"/>
        <v>539119155128.61456</v>
      </c>
      <c r="W52" s="19">
        <f t="shared" si="18"/>
        <v>1154373939792.2141</v>
      </c>
      <c r="X52" s="19">
        <f t="shared" si="18"/>
        <v>928383163089.1322</v>
      </c>
      <c r="Y52" s="19">
        <f t="shared" si="18"/>
        <v>907355584323.89648</v>
      </c>
      <c r="Z52" s="19">
        <f t="shared" si="18"/>
        <v>1087159219006.7648</v>
      </c>
      <c r="AA52" s="19">
        <f t="shared" si="18"/>
        <v>1228888985308.2964</v>
      </c>
    </row>
    <row r="54" spans="1:42" x14ac:dyDescent="0.2">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6" spans="1:42" x14ac:dyDescent="0.2">
      <c r="A56" s="3" t="s">
        <v>150</v>
      </c>
    </row>
    <row r="57" spans="1:42" x14ac:dyDescent="0.2">
      <c r="A57" s="3" t="s">
        <v>151</v>
      </c>
    </row>
    <row r="58" spans="1:42" x14ac:dyDescent="0.2">
      <c r="A58" s="3" t="s">
        <v>66</v>
      </c>
    </row>
  </sheetData>
  <mergeCells count="2">
    <mergeCell ref="A18:H24"/>
    <mergeCell ref="A25:F2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workbookViewId="0">
      <selection activeCell="D5" sqref="D5"/>
    </sheetView>
  </sheetViews>
  <sheetFormatPr baseColWidth="10" defaultColWidth="8.83203125" defaultRowHeight="15" x14ac:dyDescent="0.2"/>
  <cols>
    <col min="1" max="1" width="40.1640625" bestFit="1" customWidth="1"/>
    <col min="2" max="2" width="10" bestFit="1" customWidth="1"/>
    <col min="23" max="23" width="10" bestFit="1" customWidth="1"/>
    <col min="24" max="24" width="11" bestFit="1" customWidth="1"/>
  </cols>
  <sheetData>
    <row r="1" spans="1:27"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row>
    <row r="2" spans="1:27" x14ac:dyDescent="0.2">
      <c r="A2" t="s">
        <v>28</v>
      </c>
      <c r="B2" s="27">
        <f>X2*1.09</f>
        <v>65400000.000000007</v>
      </c>
      <c r="C2" s="27"/>
      <c r="D2" s="27"/>
      <c r="E2" s="27"/>
      <c r="F2" s="27"/>
      <c r="G2" s="27"/>
      <c r="H2" s="27"/>
      <c r="I2" s="27"/>
      <c r="J2" s="27"/>
      <c r="K2" s="27"/>
      <c r="L2" s="27"/>
      <c r="M2" s="27"/>
      <c r="N2" s="27"/>
      <c r="O2" s="27"/>
      <c r="P2" s="27"/>
      <c r="Q2" s="27"/>
      <c r="R2" s="27"/>
      <c r="S2" s="27"/>
      <c r="T2" s="27"/>
      <c r="U2" s="27"/>
      <c r="V2" s="27"/>
      <c r="W2" s="27"/>
      <c r="X2">
        <v>60000000</v>
      </c>
      <c r="Y2" s="27"/>
      <c r="Z2" s="27"/>
      <c r="AA2">
        <v>60000000</v>
      </c>
    </row>
    <row r="3" spans="1:27" x14ac:dyDescent="0.2">
      <c r="A3" t="s">
        <v>29</v>
      </c>
      <c r="B3" s="27">
        <f>$X3*1.09</f>
        <v>43600000</v>
      </c>
      <c r="C3" s="27"/>
      <c r="D3" s="27"/>
      <c r="E3" s="27"/>
      <c r="F3" s="27"/>
      <c r="G3" s="27"/>
      <c r="H3" s="27"/>
      <c r="I3" s="27"/>
      <c r="J3" s="27"/>
      <c r="K3" s="27"/>
      <c r="L3" s="27"/>
      <c r="M3" s="27"/>
      <c r="N3" s="27"/>
      <c r="O3" s="27"/>
      <c r="P3" s="27"/>
      <c r="Q3" s="27"/>
      <c r="R3" s="27"/>
      <c r="S3" s="27"/>
      <c r="T3" s="27"/>
      <c r="U3" s="27"/>
      <c r="V3" s="27"/>
      <c r="W3" s="27"/>
      <c r="X3">
        <v>40000000</v>
      </c>
      <c r="Y3" s="27"/>
      <c r="Z3" s="27"/>
      <c r="AA3">
        <v>40000000</v>
      </c>
    </row>
    <row r="4" spans="1:27" x14ac:dyDescent="0.2">
      <c r="A4" t="s">
        <v>30</v>
      </c>
      <c r="B4" s="27">
        <f>$X4*2.6</f>
        <v>208078000</v>
      </c>
      <c r="C4" s="27"/>
      <c r="D4" s="27"/>
      <c r="E4" s="27"/>
      <c r="F4" s="27"/>
      <c r="G4" s="27"/>
      <c r="H4" s="27"/>
      <c r="I4" s="27"/>
      <c r="J4" s="27"/>
      <c r="K4" s="27"/>
      <c r="L4" s="27"/>
      <c r="M4" s="27"/>
      <c r="N4" s="27"/>
      <c r="O4" s="27"/>
      <c r="P4" s="27"/>
      <c r="Q4" s="27"/>
      <c r="R4" s="27"/>
      <c r="S4" s="27"/>
      <c r="T4" s="27"/>
      <c r="U4" s="27"/>
      <c r="V4" s="27"/>
      <c r="W4" s="27"/>
      <c r="X4">
        <v>80030000</v>
      </c>
      <c r="Y4" s="27"/>
      <c r="Z4" s="27"/>
      <c r="AA4">
        <v>80030000</v>
      </c>
    </row>
    <row r="5" spans="1:27" x14ac:dyDescent="0.2">
      <c r="A5" t="s">
        <v>31</v>
      </c>
      <c r="B5" s="27">
        <f>$X5*5.3</f>
        <v>595508000</v>
      </c>
      <c r="C5" s="27"/>
      <c r="D5" s="27"/>
      <c r="E5" s="27"/>
      <c r="F5" s="27"/>
      <c r="G5" s="27"/>
      <c r="H5" s="27"/>
      <c r="I5" s="27"/>
      <c r="J5" s="27"/>
      <c r="K5" s="27"/>
      <c r="L5" s="27"/>
      <c r="M5" s="27"/>
      <c r="N5" s="27"/>
      <c r="O5" s="27"/>
      <c r="P5" s="27"/>
      <c r="Q5" s="27"/>
      <c r="R5" s="27"/>
      <c r="S5" s="27"/>
      <c r="T5" s="27"/>
      <c r="U5" s="27"/>
      <c r="V5" s="27"/>
      <c r="W5" s="27"/>
      <c r="X5">
        <v>112360000</v>
      </c>
      <c r="Y5" s="27"/>
      <c r="Z5" s="27"/>
      <c r="AA5">
        <v>112360000</v>
      </c>
    </row>
    <row r="7" spans="1:27" x14ac:dyDescent="0.2">
      <c r="A7" t="s">
        <v>32</v>
      </c>
    </row>
    <row r="8" spans="1:27" x14ac:dyDescent="0.2">
      <c r="A8" s="74" t="s">
        <v>33</v>
      </c>
      <c r="B8" s="74"/>
      <c r="C8" s="74"/>
      <c r="D8" s="74"/>
      <c r="E8" s="74"/>
      <c r="F8" s="74"/>
      <c r="G8" s="74"/>
    </row>
    <row r="9" spans="1:27" x14ac:dyDescent="0.2">
      <c r="A9" s="74"/>
      <c r="B9" s="74"/>
      <c r="C9" s="74"/>
      <c r="D9" s="74"/>
      <c r="E9" s="74"/>
      <c r="F9" s="74"/>
      <c r="G9" s="74"/>
    </row>
    <row r="10" spans="1:27" x14ac:dyDescent="0.2">
      <c r="A10" s="74"/>
      <c r="B10" s="74"/>
      <c r="C10" s="74"/>
      <c r="D10" s="74"/>
      <c r="E10" s="74"/>
      <c r="F10" s="74"/>
      <c r="G10" s="74"/>
    </row>
    <row r="11" spans="1:27" x14ac:dyDescent="0.2">
      <c r="A11" s="74"/>
      <c r="B11" s="74"/>
      <c r="C11" s="74"/>
      <c r="D11" s="74"/>
      <c r="E11" s="74"/>
      <c r="F11" s="74"/>
      <c r="G11" s="74"/>
    </row>
    <row r="12" spans="1:27" x14ac:dyDescent="0.2">
      <c r="A12" s="74"/>
      <c r="B12" s="74"/>
      <c r="C12" s="74"/>
      <c r="D12" s="74"/>
      <c r="E12" s="74"/>
      <c r="F12" s="74"/>
      <c r="G12" s="74"/>
    </row>
    <row r="15" spans="1:27" x14ac:dyDescent="0.2">
      <c r="B15">
        <v>22</v>
      </c>
      <c r="C15">
        <v>21</v>
      </c>
      <c r="D15">
        <v>20</v>
      </c>
      <c r="E15">
        <v>19</v>
      </c>
      <c r="F15">
        <v>18</v>
      </c>
      <c r="G15">
        <v>17</v>
      </c>
      <c r="H15">
        <v>16</v>
      </c>
      <c r="I15">
        <v>15</v>
      </c>
      <c r="J15">
        <v>14</v>
      </c>
      <c r="K15">
        <v>13</v>
      </c>
      <c r="L15">
        <v>12</v>
      </c>
      <c r="M15">
        <v>11</v>
      </c>
      <c r="N15">
        <v>10</v>
      </c>
      <c r="O15">
        <v>9</v>
      </c>
      <c r="P15">
        <v>8</v>
      </c>
      <c r="Q15">
        <v>7</v>
      </c>
      <c r="R15">
        <v>6</v>
      </c>
      <c r="S15">
        <v>5</v>
      </c>
      <c r="T15">
        <v>4</v>
      </c>
      <c r="U15">
        <v>3</v>
      </c>
      <c r="V15">
        <v>2</v>
      </c>
      <c r="W15">
        <v>1</v>
      </c>
    </row>
    <row r="21" spans="1:27" x14ac:dyDescent="0.2">
      <c r="A21" t="s">
        <v>34</v>
      </c>
      <c r="B21" s="19">
        <v>1990</v>
      </c>
      <c r="C21" s="19">
        <v>1991</v>
      </c>
      <c r="D21" s="19">
        <v>1992</v>
      </c>
      <c r="E21" s="19">
        <v>1993</v>
      </c>
      <c r="F21" s="19">
        <v>1994</v>
      </c>
      <c r="G21" s="19">
        <v>1995</v>
      </c>
      <c r="H21" s="19">
        <v>1996</v>
      </c>
      <c r="I21" s="19">
        <v>1997</v>
      </c>
      <c r="J21" s="19">
        <v>1998</v>
      </c>
      <c r="K21" s="19">
        <v>1999</v>
      </c>
      <c r="L21" s="19">
        <v>2000</v>
      </c>
      <c r="M21" s="19">
        <v>2001</v>
      </c>
      <c r="N21" s="19">
        <v>2002</v>
      </c>
      <c r="O21" s="19">
        <v>2003</v>
      </c>
      <c r="P21" s="19">
        <v>2004</v>
      </c>
      <c r="Q21" s="19">
        <v>2005</v>
      </c>
      <c r="R21" s="19">
        <v>2006</v>
      </c>
      <c r="S21" s="19">
        <v>2007</v>
      </c>
      <c r="T21" s="19">
        <v>2008</v>
      </c>
      <c r="U21" s="19">
        <v>2009</v>
      </c>
      <c r="V21" s="19">
        <v>2010</v>
      </c>
      <c r="W21" s="19">
        <v>2011</v>
      </c>
      <c r="X21" s="19">
        <v>2012</v>
      </c>
      <c r="Y21" s="19">
        <v>2013</v>
      </c>
      <c r="Z21" s="19">
        <v>2014</v>
      </c>
      <c r="AA21" s="19">
        <v>2015</v>
      </c>
    </row>
    <row r="22" spans="1:27" x14ac:dyDescent="0.2">
      <c r="A22" t="s">
        <v>35</v>
      </c>
      <c r="B22" t="s">
        <v>36</v>
      </c>
    </row>
    <row r="23" spans="1:27" x14ac:dyDescent="0.2">
      <c r="A23" t="s">
        <v>37</v>
      </c>
    </row>
    <row r="24" spans="1:27" x14ac:dyDescent="0.2">
      <c r="A24" t="s">
        <v>38</v>
      </c>
      <c r="B24" s="33">
        <v>1</v>
      </c>
      <c r="C24" s="33">
        <v>1.0040100000000001</v>
      </c>
      <c r="D24" s="33">
        <v>1.00803</v>
      </c>
      <c r="E24" s="33">
        <v>1.01207</v>
      </c>
      <c r="F24" s="33">
        <v>1.01613</v>
      </c>
      <c r="G24" s="33">
        <v>1.0202</v>
      </c>
      <c r="H24" s="33">
        <v>1.0242899999999999</v>
      </c>
      <c r="I24" s="33">
        <v>1.0284</v>
      </c>
      <c r="J24" s="33">
        <v>1.0325200000000001</v>
      </c>
      <c r="K24" s="33">
        <v>1.0366599999999999</v>
      </c>
      <c r="L24" s="33">
        <v>1.04081</v>
      </c>
      <c r="M24" s="33">
        <v>1.04498</v>
      </c>
      <c r="N24" s="33">
        <v>1.0491699999999999</v>
      </c>
      <c r="O24" s="33">
        <v>1.05338</v>
      </c>
      <c r="P24" s="33">
        <v>1.0576000000000001</v>
      </c>
      <c r="Q24" s="33">
        <v>1.0618399999999999</v>
      </c>
      <c r="R24" s="33">
        <v>1.06609</v>
      </c>
      <c r="S24" s="33">
        <v>1.07037</v>
      </c>
      <c r="T24" s="33">
        <v>1.0746599999999999</v>
      </c>
      <c r="U24" s="33">
        <v>1.0789599999999999</v>
      </c>
      <c r="V24" s="33">
        <v>1.0832900000000001</v>
      </c>
      <c r="W24" s="33">
        <v>1.0876300000000001</v>
      </c>
      <c r="X24" s="33">
        <v>1.09199</v>
      </c>
      <c r="Y24" s="33">
        <v>1.09636</v>
      </c>
      <c r="Z24" s="33">
        <v>1.10076</v>
      </c>
      <c r="AA24" s="33">
        <v>1.10517</v>
      </c>
    </row>
    <row r="25" spans="1:27" x14ac:dyDescent="0.2">
      <c r="A25" t="s">
        <v>39</v>
      </c>
      <c r="B25" s="33">
        <v>1</v>
      </c>
      <c r="C25" s="33">
        <v>1.0040100000000001</v>
      </c>
      <c r="D25" s="33">
        <v>1.00803</v>
      </c>
      <c r="E25" s="33">
        <v>1.01207</v>
      </c>
      <c r="F25" s="33">
        <v>1.01613</v>
      </c>
      <c r="G25" s="33">
        <v>1.0202</v>
      </c>
      <c r="H25" s="33">
        <v>1.0242899999999999</v>
      </c>
      <c r="I25" s="33">
        <v>1.0284</v>
      </c>
      <c r="J25" s="33">
        <v>1.0325200000000001</v>
      </c>
      <c r="K25" s="33">
        <v>1.0366599999999999</v>
      </c>
      <c r="L25" s="33">
        <v>1.04081</v>
      </c>
      <c r="M25" s="33">
        <v>1.04498</v>
      </c>
      <c r="N25" s="33">
        <v>1.0491699999999999</v>
      </c>
      <c r="O25" s="33">
        <v>1.05338</v>
      </c>
      <c r="P25" s="33">
        <v>1.0576000000000001</v>
      </c>
      <c r="Q25" s="33">
        <v>1.0618399999999999</v>
      </c>
      <c r="R25" s="33">
        <v>1.06609</v>
      </c>
      <c r="S25" s="33">
        <v>1.07037</v>
      </c>
      <c r="T25" s="33">
        <v>1.0746599999999999</v>
      </c>
      <c r="U25" s="33">
        <v>1.0789599999999999</v>
      </c>
      <c r="V25" s="33">
        <v>1.0832900000000001</v>
      </c>
      <c r="W25" s="33">
        <v>1.0876300000000001</v>
      </c>
      <c r="X25" s="33">
        <v>1.09199</v>
      </c>
      <c r="Y25" s="33">
        <v>1.09636</v>
      </c>
      <c r="Z25" s="33">
        <v>1.10076</v>
      </c>
      <c r="AA25" s="33">
        <v>1.10517</v>
      </c>
    </row>
    <row r="26" spans="1:27" x14ac:dyDescent="0.2">
      <c r="A26" t="s">
        <v>40</v>
      </c>
      <c r="B26" s="33">
        <v>1</v>
      </c>
      <c r="C26" s="33">
        <v>1.11521</v>
      </c>
      <c r="D26" s="33">
        <v>1.15042</v>
      </c>
      <c r="E26" s="33">
        <v>1.2319899999999999</v>
      </c>
      <c r="F26" s="33">
        <v>1.27566</v>
      </c>
      <c r="G26" s="33">
        <v>1.33005</v>
      </c>
      <c r="H26" s="33">
        <v>1.3693900000000001</v>
      </c>
      <c r="I26" s="33">
        <v>1.4201299999999999</v>
      </c>
      <c r="J26" s="33">
        <v>1.4606399999999999</v>
      </c>
      <c r="K26" s="33">
        <v>1.51118</v>
      </c>
      <c r="L26" s="33">
        <v>1.55474</v>
      </c>
      <c r="M26" s="33">
        <v>1.6068</v>
      </c>
      <c r="N26" s="33">
        <v>1.65401</v>
      </c>
      <c r="O26" s="33">
        <v>1.7093799999999999</v>
      </c>
      <c r="P26" s="33">
        <v>1.7609999999999999</v>
      </c>
      <c r="Q26" s="33">
        <v>1.8206500000000001</v>
      </c>
      <c r="R26" s="33">
        <v>1.8772800000000001</v>
      </c>
      <c r="S26" s="33">
        <v>1.94232</v>
      </c>
      <c r="T26" s="33">
        <v>2.0046400000000002</v>
      </c>
      <c r="U26" s="33">
        <v>2.0752000000000002</v>
      </c>
      <c r="V26" s="33">
        <v>2.14371</v>
      </c>
      <c r="W26" s="33">
        <v>2.2205300000000001</v>
      </c>
      <c r="X26" s="33">
        <v>2.2959200000000002</v>
      </c>
      <c r="Y26" s="33">
        <v>2.3796400000000002</v>
      </c>
      <c r="Z26" s="33">
        <v>2.4626199999999998</v>
      </c>
      <c r="AA26" s="33">
        <v>2.5545300000000002</v>
      </c>
    </row>
    <row r="27" spans="1:27" x14ac:dyDescent="0.2">
      <c r="A27" t="s">
        <v>41</v>
      </c>
      <c r="B27" s="33">
        <v>1</v>
      </c>
      <c r="C27" s="33">
        <v>1.0505800000000001</v>
      </c>
      <c r="D27" s="33">
        <v>1.0772200000000001</v>
      </c>
      <c r="E27" s="33">
        <v>1.22007</v>
      </c>
      <c r="F27" s="33">
        <v>1.2604900000000001</v>
      </c>
      <c r="G27" s="33">
        <v>1.32874</v>
      </c>
      <c r="H27" s="33">
        <v>1.3702000000000001</v>
      </c>
      <c r="I27" s="33">
        <v>1.43102</v>
      </c>
      <c r="J27" s="33">
        <v>1.4816100000000001</v>
      </c>
      <c r="K27" s="33">
        <v>1.55185</v>
      </c>
      <c r="L27" s="33">
        <v>1.6185499999999999</v>
      </c>
      <c r="M27" s="33">
        <v>1.70642</v>
      </c>
      <c r="N27" s="33">
        <v>1.79732</v>
      </c>
      <c r="O27" s="33">
        <v>1.9142300000000001</v>
      </c>
      <c r="P27" s="33">
        <v>2.0415999999999999</v>
      </c>
      <c r="Q27" s="33">
        <v>2.2029100000000001</v>
      </c>
      <c r="R27" s="33">
        <v>2.3853</v>
      </c>
      <c r="S27" s="33">
        <v>2.6147</v>
      </c>
      <c r="T27" s="33">
        <v>2.8813800000000001</v>
      </c>
      <c r="U27" s="33">
        <v>3.21631</v>
      </c>
      <c r="V27" s="33">
        <v>3.6143100000000001</v>
      </c>
      <c r="W27" s="33">
        <v>4.1149399999999998</v>
      </c>
      <c r="X27" s="33">
        <v>4.7210900000000002</v>
      </c>
      <c r="Y27" s="33">
        <v>4.8</v>
      </c>
      <c r="Z27" s="33">
        <v>4.9000000000000004</v>
      </c>
      <c r="AA27" s="33">
        <v>5.3</v>
      </c>
    </row>
  </sheetData>
  <mergeCells count="1">
    <mergeCell ref="A8:G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
  <sheetViews>
    <sheetView zoomScale="110" zoomScaleNormal="110" zoomScalePageLayoutView="110" workbookViewId="0">
      <pane xSplit="1" topLeftCell="B1" activePane="topRight" state="frozen"/>
      <selection pane="topRight" activeCell="B3" sqref="B3"/>
    </sheetView>
  </sheetViews>
  <sheetFormatPr baseColWidth="10" defaultColWidth="8.83203125" defaultRowHeight="15" x14ac:dyDescent="0.2"/>
  <cols>
    <col min="1" max="1" width="29.33203125" customWidth="1"/>
    <col min="2" max="12" width="9.33203125" bestFit="1" customWidth="1"/>
    <col min="13" max="27" width="9.6640625" bestFit="1" customWidth="1"/>
    <col min="28" max="28" width="12.1640625" bestFit="1" customWidth="1"/>
    <col min="29" max="41" width="9.6640625" bestFit="1" customWidth="1"/>
    <col min="42" max="42" width="12.5" bestFit="1" customWidth="1"/>
  </cols>
  <sheetData>
    <row r="1" spans="1:42" x14ac:dyDescent="0.2">
      <c r="A1" s="3" t="s">
        <v>48</v>
      </c>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s="34" customFormat="1" x14ac:dyDescent="0.2">
      <c r="A2" s="34" t="s">
        <v>42</v>
      </c>
      <c r="B2" s="6">
        <v>18307</v>
      </c>
      <c r="C2" s="6">
        <v>18753</v>
      </c>
      <c r="D2" s="6">
        <v>19194</v>
      </c>
      <c r="E2" s="8">
        <f>D2+(F2-D2)/2</f>
        <v>19786.5</v>
      </c>
      <c r="F2" s="6">
        <v>20379</v>
      </c>
      <c r="G2" s="6">
        <v>20833</v>
      </c>
      <c r="H2" s="6">
        <v>20986</v>
      </c>
      <c r="I2" s="6">
        <v>21658</v>
      </c>
      <c r="J2" s="6">
        <v>21904.5</v>
      </c>
      <c r="K2" s="6">
        <v>22443.21</v>
      </c>
      <c r="L2" s="6">
        <v>23815.99</v>
      </c>
      <c r="M2" s="6">
        <v>25120.66</v>
      </c>
      <c r="N2" s="6">
        <v>26269</v>
      </c>
      <c r="O2" s="8">
        <f>N2+($S2-$N2)/5</f>
        <v>27946</v>
      </c>
      <c r="P2" s="8">
        <f t="shared" ref="P2:R2" si="0">O2+($S2-$N2)/5</f>
        <v>29623</v>
      </c>
      <c r="Q2" s="8">
        <f t="shared" si="0"/>
        <v>31300</v>
      </c>
      <c r="R2" s="8">
        <f t="shared" si="0"/>
        <v>32977</v>
      </c>
      <c r="S2" s="6">
        <v>34654</v>
      </c>
      <c r="T2" s="6">
        <v>35908.800000000003</v>
      </c>
      <c r="U2" s="6">
        <v>36877.800000000003</v>
      </c>
      <c r="V2" s="6">
        <v>36863.4</v>
      </c>
      <c r="W2" s="6">
        <v>37567.4</v>
      </c>
      <c r="X2" s="6">
        <v>38990</v>
      </c>
      <c r="Y2" s="6">
        <v>39491</v>
      </c>
      <c r="Z2" s="6">
        <v>40532</v>
      </c>
      <c r="AA2" s="6">
        <v>41267</v>
      </c>
      <c r="AB2" s="8">
        <f>GROWTH(B2:AA2,B1:AA1,AB1,TRUE)</f>
        <v>45041.54536025675</v>
      </c>
      <c r="AC2" s="8">
        <f t="shared" ref="AC2:AP2" si="1">GROWTH(C2:AB2,C1:AB1,AC1,TRUE)</f>
        <v>46907.989181446079</v>
      </c>
      <c r="AD2" s="8">
        <f t="shared" si="1"/>
        <v>48852.255750198441</v>
      </c>
      <c r="AE2" s="8">
        <f t="shared" si="1"/>
        <v>50866.301999438001</v>
      </c>
      <c r="AF2" s="8">
        <f t="shared" si="1"/>
        <v>52974.571781610124</v>
      </c>
      <c r="AG2" s="8">
        <f t="shared" si="1"/>
        <v>55174.316147053403</v>
      </c>
      <c r="AH2" s="8">
        <f t="shared" si="1"/>
        <v>57427.451813848209</v>
      </c>
      <c r="AI2" s="8">
        <f t="shared" si="1"/>
        <v>59641.105297799681</v>
      </c>
      <c r="AJ2" s="8">
        <f t="shared" si="1"/>
        <v>61893.159422998426</v>
      </c>
      <c r="AK2" s="8">
        <f t="shared" si="1"/>
        <v>64058.778962858087</v>
      </c>
      <c r="AL2" s="8">
        <f t="shared" si="1"/>
        <v>66154.209499958306</v>
      </c>
      <c r="AM2" s="8">
        <f t="shared" si="1"/>
        <v>68344.52133107683</v>
      </c>
      <c r="AN2" s="8">
        <f t="shared" si="1"/>
        <v>70619.755713632403</v>
      </c>
      <c r="AO2" s="8">
        <f t="shared" si="1"/>
        <v>72945.228901353534</v>
      </c>
      <c r="AP2" s="8">
        <f t="shared" si="1"/>
        <v>75436.810369820887</v>
      </c>
    </row>
    <row r="3" spans="1:42" x14ac:dyDescent="0.2">
      <c r="A3" t="s">
        <v>28</v>
      </c>
      <c r="B3" s="29">
        <v>41236</v>
      </c>
      <c r="C3" s="29">
        <v>43004</v>
      </c>
      <c r="D3" s="29">
        <v>44791</v>
      </c>
      <c r="E3" s="8">
        <f t="shared" ref="E3:E5" si="2">D3+(F3-D3)/2</f>
        <v>46969</v>
      </c>
      <c r="F3" s="29">
        <v>49147</v>
      </c>
      <c r="G3" s="29">
        <v>52139</v>
      </c>
      <c r="H3" s="29">
        <v>53480</v>
      </c>
      <c r="I3" s="29">
        <v>54154</v>
      </c>
      <c r="J3" s="28">
        <f>I3+($N3-$I3)/5</f>
        <v>55749.4</v>
      </c>
      <c r="K3" s="28">
        <f t="shared" ref="K3:M3" si="3">J3+($N3-$I3)/5</f>
        <v>57344.800000000003</v>
      </c>
      <c r="L3" s="28">
        <f t="shared" si="3"/>
        <v>58940.200000000004</v>
      </c>
      <c r="M3" s="28">
        <f t="shared" si="3"/>
        <v>60535.600000000006</v>
      </c>
      <c r="N3" s="29">
        <v>62131</v>
      </c>
      <c r="O3" s="8">
        <f t="shared" ref="O3:R6" si="4">N3+($S3-$N3)/5</f>
        <v>63929</v>
      </c>
      <c r="P3" s="8">
        <f t="shared" si="4"/>
        <v>65727</v>
      </c>
      <c r="Q3" s="8">
        <f t="shared" si="4"/>
        <v>67525</v>
      </c>
      <c r="R3" s="8">
        <f t="shared" si="4"/>
        <v>69323</v>
      </c>
      <c r="S3" s="29">
        <v>71121</v>
      </c>
      <c r="T3" s="29">
        <v>76018.899999999994</v>
      </c>
      <c r="U3" s="29">
        <v>77648.899999999994</v>
      </c>
      <c r="V3" s="29">
        <v>84198.399999999994</v>
      </c>
      <c r="W3" s="29">
        <v>93918.399999999994</v>
      </c>
      <c r="X3" s="29">
        <v>112022</v>
      </c>
      <c r="Y3" s="29">
        <v>130221</v>
      </c>
      <c r="Z3" s="29">
        <v>145273</v>
      </c>
      <c r="AA3" s="29">
        <v>164636</v>
      </c>
      <c r="AB3" s="8">
        <f>GROWTH(U3:AA3,U1:AA1,AB1,TRUE)</f>
        <v>188411.06673629113</v>
      </c>
      <c r="AC3" s="8">
        <f t="shared" ref="AC3:AP3" si="5">GROWTH(V3:AB3,V1:AB1,AC1,TRUE)</f>
        <v>217748.95276377132</v>
      </c>
      <c r="AD3" s="8">
        <f t="shared" si="5"/>
        <v>249342.43296191684</v>
      </c>
      <c r="AE3" s="8">
        <f t="shared" si="5"/>
        <v>282256.06223195506</v>
      </c>
      <c r="AF3" s="8">
        <f t="shared" si="5"/>
        <v>321729.19360475271</v>
      </c>
      <c r="AG3" s="8">
        <f t="shared" si="5"/>
        <v>369408.18061951856</v>
      </c>
      <c r="AH3" s="8">
        <f t="shared" si="5"/>
        <v>422727.59274902754</v>
      </c>
      <c r="AI3" s="8">
        <f t="shared" si="5"/>
        <v>482458.10387126682</v>
      </c>
      <c r="AJ3" s="8">
        <f t="shared" si="5"/>
        <v>549869.1274182609</v>
      </c>
      <c r="AK3" s="8">
        <f t="shared" si="5"/>
        <v>628225.35063909576</v>
      </c>
      <c r="AL3" s="8">
        <f t="shared" si="5"/>
        <v>719080.50909380231</v>
      </c>
      <c r="AM3" s="8">
        <f t="shared" si="5"/>
        <v>821687.63750407135</v>
      </c>
      <c r="AN3" s="8">
        <f t="shared" si="5"/>
        <v>937739.72551088198</v>
      </c>
      <c r="AO3" s="8">
        <f t="shared" si="5"/>
        <v>1071004.5495340333</v>
      </c>
      <c r="AP3" s="8">
        <f t="shared" si="5"/>
        <v>1223981.7840019132</v>
      </c>
    </row>
    <row r="4" spans="1:42" x14ac:dyDescent="0.2">
      <c r="A4" t="s">
        <v>29</v>
      </c>
      <c r="B4" s="29">
        <v>2343</v>
      </c>
      <c r="C4" s="29">
        <v>2552</v>
      </c>
      <c r="D4" s="29">
        <v>3095</v>
      </c>
      <c r="E4" s="8">
        <f t="shared" si="2"/>
        <v>3989</v>
      </c>
      <c r="F4" s="29">
        <v>4883</v>
      </c>
      <c r="G4" s="29">
        <v>5631</v>
      </c>
      <c r="H4" s="29">
        <v>6268</v>
      </c>
      <c r="I4" s="29">
        <v>6562</v>
      </c>
      <c r="J4" s="28">
        <f t="shared" ref="J4:M5" si="6">I4+($N4-$I4)/5</f>
        <v>7482.2</v>
      </c>
      <c r="K4" s="28">
        <f t="shared" si="6"/>
        <v>8402.4</v>
      </c>
      <c r="L4" s="28">
        <f t="shared" si="6"/>
        <v>9322.6</v>
      </c>
      <c r="M4" s="28">
        <f t="shared" si="6"/>
        <v>10242.800000000001</v>
      </c>
      <c r="N4" s="29">
        <v>11163</v>
      </c>
      <c r="O4" s="8">
        <f t="shared" si="4"/>
        <v>11668.8</v>
      </c>
      <c r="P4" s="8">
        <f t="shared" si="4"/>
        <v>12174.599999999999</v>
      </c>
      <c r="Q4" s="8">
        <f t="shared" si="4"/>
        <v>12680.399999999998</v>
      </c>
      <c r="R4" s="8">
        <f t="shared" si="4"/>
        <v>13186.199999999997</v>
      </c>
      <c r="S4" s="29">
        <v>13692</v>
      </c>
      <c r="T4" s="29">
        <v>14686.2</v>
      </c>
      <c r="U4" s="29">
        <v>14876.6</v>
      </c>
      <c r="V4" s="29">
        <v>17055.900000000001</v>
      </c>
      <c r="W4" s="29">
        <v>17681.400000000001</v>
      </c>
      <c r="X4" s="29">
        <v>18381</v>
      </c>
      <c r="Y4" s="29">
        <v>20110</v>
      </c>
      <c r="Z4" s="29">
        <v>21782</v>
      </c>
      <c r="AA4" s="29">
        <v>23062</v>
      </c>
      <c r="AB4" s="8">
        <f>GROWTH(B4:AA4,B1:AA1,AB1,TRUE)</f>
        <v>29120.290838925419</v>
      </c>
      <c r="AC4" s="8">
        <f t="shared" ref="AC4:AP4" si="7">GROWTH(C4:AB4,C1:AB1,AC1,TRUE)</f>
        <v>30713.999043306983</v>
      </c>
      <c r="AD4" s="8">
        <f t="shared" si="7"/>
        <v>32146.358644920045</v>
      </c>
      <c r="AE4" s="8">
        <f t="shared" si="7"/>
        <v>33667.9896210843</v>
      </c>
      <c r="AF4" s="8">
        <f t="shared" si="7"/>
        <v>35522.56190845235</v>
      </c>
      <c r="AG4" s="8">
        <f t="shared" si="7"/>
        <v>37704.163953122421</v>
      </c>
      <c r="AH4" s="8">
        <f t="shared" si="7"/>
        <v>40145.257212198077</v>
      </c>
      <c r="AI4" s="8">
        <f t="shared" si="7"/>
        <v>42801.382382747783</v>
      </c>
      <c r="AJ4" s="8">
        <f t="shared" si="7"/>
        <v>45481.2418654344</v>
      </c>
      <c r="AK4" s="8">
        <f t="shared" si="7"/>
        <v>48490.52515513554</v>
      </c>
      <c r="AL4" s="8">
        <f t="shared" si="7"/>
        <v>51864.115616331095</v>
      </c>
      <c r="AM4" s="8">
        <f t="shared" si="7"/>
        <v>55645.802721673332</v>
      </c>
      <c r="AN4" s="8">
        <f t="shared" si="7"/>
        <v>59888.35215551217</v>
      </c>
      <c r="AO4" s="8">
        <f t="shared" si="7"/>
        <v>64654.04432277914</v>
      </c>
      <c r="AP4" s="8">
        <f t="shared" si="7"/>
        <v>69805.327340269898</v>
      </c>
    </row>
    <row r="5" spans="1:42" x14ac:dyDescent="0.2">
      <c r="A5" t="s">
        <v>43</v>
      </c>
      <c r="B5" s="29">
        <v>1565</v>
      </c>
      <c r="C5" s="29">
        <v>1565</v>
      </c>
      <c r="D5" s="29">
        <v>1785</v>
      </c>
      <c r="E5" s="8">
        <f t="shared" si="2"/>
        <v>1895</v>
      </c>
      <c r="F5" s="29">
        <v>2005</v>
      </c>
      <c r="G5" s="29">
        <v>2225</v>
      </c>
      <c r="H5" s="29">
        <v>2225</v>
      </c>
      <c r="I5" s="29">
        <v>2225</v>
      </c>
      <c r="J5" s="28">
        <f t="shared" si="6"/>
        <v>2324</v>
      </c>
      <c r="K5" s="28">
        <f t="shared" si="6"/>
        <v>2423</v>
      </c>
      <c r="L5" s="28">
        <f t="shared" si="6"/>
        <v>2522</v>
      </c>
      <c r="M5" s="28">
        <f t="shared" si="6"/>
        <v>2621</v>
      </c>
      <c r="N5" s="29">
        <v>2720</v>
      </c>
      <c r="O5" s="8">
        <f t="shared" si="4"/>
        <v>2956</v>
      </c>
      <c r="P5" s="8">
        <f t="shared" si="4"/>
        <v>3192</v>
      </c>
      <c r="Q5" s="8">
        <f t="shared" si="4"/>
        <v>3428</v>
      </c>
      <c r="R5" s="8">
        <f t="shared" si="4"/>
        <v>3664</v>
      </c>
      <c r="S5" s="29">
        <v>3900</v>
      </c>
      <c r="T5" s="29">
        <v>4120</v>
      </c>
      <c r="U5" s="29">
        <v>4120</v>
      </c>
      <c r="V5" s="29">
        <v>4560</v>
      </c>
      <c r="W5" s="29">
        <v>4780</v>
      </c>
      <c r="X5" s="29">
        <v>4780</v>
      </c>
      <c r="Y5" s="29">
        <v>4780</v>
      </c>
      <c r="Z5" s="29">
        <v>4780</v>
      </c>
      <c r="AA5" s="29">
        <v>5780</v>
      </c>
      <c r="AB5" s="8">
        <f>GROWTH(B5:AA5,B1:AA1,AB1,TRUE)</f>
        <v>5849.8800393699403</v>
      </c>
      <c r="AC5" s="8">
        <f t="shared" ref="AC5:AP5" si="8">GROWTH(C5:AB5,C1:AB1,AC1,TRUE)</f>
        <v>6142.9960942296548</v>
      </c>
      <c r="AD5" s="8">
        <f t="shared" si="8"/>
        <v>6420.8767970292174</v>
      </c>
      <c r="AE5" s="8">
        <f t="shared" si="8"/>
        <v>6748.4502756590209</v>
      </c>
      <c r="AF5" s="8">
        <f t="shared" si="8"/>
        <v>7099.7644069464232</v>
      </c>
      <c r="AG5" s="8">
        <f t="shared" si="8"/>
        <v>7476.4278065407443</v>
      </c>
      <c r="AH5" s="8">
        <f t="shared" si="8"/>
        <v>7914.5247447305401</v>
      </c>
      <c r="AI5" s="8">
        <f t="shared" si="8"/>
        <v>8357.9836125377169</v>
      </c>
      <c r="AJ5" s="8">
        <f t="shared" si="8"/>
        <v>8796.9824468800325</v>
      </c>
      <c r="AK5" s="8">
        <f t="shared" si="8"/>
        <v>9253.574513001131</v>
      </c>
      <c r="AL5" s="8">
        <f t="shared" si="8"/>
        <v>9725.0268392038906</v>
      </c>
      <c r="AM5" s="8">
        <f t="shared" si="8"/>
        <v>10207.484861727671</v>
      </c>
      <c r="AN5" s="8">
        <f t="shared" si="8"/>
        <v>10695.764472602243</v>
      </c>
      <c r="AO5" s="8">
        <f t="shared" si="8"/>
        <v>11183.142173005752</v>
      </c>
      <c r="AP5" s="8">
        <f t="shared" si="8"/>
        <v>11708.93236732181</v>
      </c>
    </row>
    <row r="6" spans="1:42" x14ac:dyDescent="0.2">
      <c r="A6" t="s">
        <v>46</v>
      </c>
      <c r="B6" s="28"/>
      <c r="C6" s="28"/>
      <c r="D6" s="28"/>
      <c r="E6" s="28"/>
      <c r="F6" s="28"/>
      <c r="G6" s="28"/>
      <c r="H6" s="28"/>
      <c r="I6" s="28"/>
      <c r="J6" s="28"/>
      <c r="K6" s="28"/>
      <c r="L6" s="28"/>
      <c r="M6" s="28"/>
      <c r="N6" s="29"/>
      <c r="O6" s="8">
        <f t="shared" si="4"/>
        <v>0</v>
      </c>
      <c r="P6" s="8">
        <f t="shared" si="4"/>
        <v>0</v>
      </c>
      <c r="Q6" s="8">
        <f t="shared" si="4"/>
        <v>0</v>
      </c>
      <c r="R6" s="8">
        <f t="shared" si="4"/>
        <v>0</v>
      </c>
      <c r="S6" s="28"/>
      <c r="T6" s="29">
        <v>2045.07</v>
      </c>
      <c r="U6" s="29">
        <v>2160.48</v>
      </c>
      <c r="V6" s="29">
        <v>2604.92</v>
      </c>
      <c r="W6" s="29">
        <v>2913</v>
      </c>
      <c r="X6" s="29">
        <v>3410.52</v>
      </c>
      <c r="Y6" s="29">
        <v>3643.17</v>
      </c>
      <c r="Z6" s="29">
        <v>3803.68</v>
      </c>
      <c r="AA6" s="29">
        <v>4055.36</v>
      </c>
      <c r="AB6" s="8">
        <f>GROWTH(T6:AA6,T1:AA1,AB1,TRUE)</f>
        <v>4790.3655373005859</v>
      </c>
      <c r="AC6" s="8">
        <f t="shared" ref="AC6:AP6" si="9">GROWTH(U6:AB6,U1:AB1,AC1,TRUE)</f>
        <v>5290.8815459770603</v>
      </c>
      <c r="AD6" s="8">
        <f t="shared" si="9"/>
        <v>5717.0983202709976</v>
      </c>
      <c r="AE6" s="8">
        <f t="shared" si="9"/>
        <v>6237.156877645989</v>
      </c>
      <c r="AF6" s="8">
        <f t="shared" si="9"/>
        <v>6799.3046952359728</v>
      </c>
      <c r="AG6" s="8">
        <f t="shared" si="9"/>
        <v>7545.9177122660849</v>
      </c>
      <c r="AH6" s="8">
        <f t="shared" si="9"/>
        <v>8389.0735474365028</v>
      </c>
      <c r="AI6" s="8">
        <f t="shared" si="9"/>
        <v>9236.8134880093567</v>
      </c>
      <c r="AJ6" s="8">
        <f t="shared" si="9"/>
        <v>10031.53618944984</v>
      </c>
      <c r="AK6" s="8">
        <f t="shared" si="9"/>
        <v>11032.349115563704</v>
      </c>
      <c r="AL6" s="8">
        <f t="shared" si="9"/>
        <v>12179.80017539463</v>
      </c>
      <c r="AM6" s="8">
        <f t="shared" si="9"/>
        <v>13425.2336998027</v>
      </c>
      <c r="AN6" s="8">
        <f t="shared" si="9"/>
        <v>14779.362346575268</v>
      </c>
      <c r="AO6" s="8">
        <f t="shared" si="9"/>
        <v>16216.972297718994</v>
      </c>
      <c r="AP6" s="8">
        <f t="shared" si="9"/>
        <v>17802.176693211542</v>
      </c>
    </row>
    <row r="7" spans="1:42" x14ac:dyDescent="0.2">
      <c r="A7" t="s">
        <v>30</v>
      </c>
      <c r="B7" s="58">
        <v>0</v>
      </c>
      <c r="C7" s="58">
        <v>39</v>
      </c>
      <c r="D7" s="58">
        <v>39</v>
      </c>
      <c r="E7" s="58">
        <v>79</v>
      </c>
      <c r="F7" s="58">
        <v>185</v>
      </c>
      <c r="G7" s="58">
        <v>576</v>
      </c>
      <c r="H7" s="58">
        <v>820</v>
      </c>
      <c r="I7" s="29">
        <v>902.02</v>
      </c>
      <c r="J7" s="29">
        <v>968.1</v>
      </c>
      <c r="K7" s="29">
        <v>1024</v>
      </c>
      <c r="L7" s="29">
        <v>1154.71</v>
      </c>
      <c r="M7" s="29">
        <v>1269.48</v>
      </c>
      <c r="N7" s="58">
        <v>1702</v>
      </c>
      <c r="O7" s="58">
        <v>2125</v>
      </c>
      <c r="P7" s="58">
        <v>3000</v>
      </c>
      <c r="Q7" s="58">
        <v>4430</v>
      </c>
      <c r="R7" s="58">
        <v>6270</v>
      </c>
      <c r="S7" s="59">
        <f>R7+(T7-R7)/2</f>
        <v>6968.42</v>
      </c>
      <c r="T7" s="29">
        <v>7666.84</v>
      </c>
      <c r="U7" s="29">
        <v>9344.1299999999992</v>
      </c>
      <c r="V7" s="29">
        <v>10647.45</v>
      </c>
      <c r="W7" s="29">
        <v>12806.54</v>
      </c>
      <c r="X7" s="29">
        <v>16896.599999999999</v>
      </c>
      <c r="Y7" s="29">
        <v>18484.990000000002</v>
      </c>
      <c r="Z7" s="29">
        <v>21136.400000000001</v>
      </c>
      <c r="AA7" s="29">
        <v>23444</v>
      </c>
      <c r="AB7" s="8">
        <f>GROWTH(C7:AA7,C1:AA1,AB1,TRUE)</f>
        <v>51693.499541434125</v>
      </c>
      <c r="AC7" s="8">
        <f t="shared" ref="AC7:AP7" si="10">GROWTH(D7:AB7,D1:AB1,AC1,TRUE)</f>
        <v>60866.301095425071</v>
      </c>
      <c r="AD7" s="8">
        <f t="shared" si="10"/>
        <v>68461.234958426619</v>
      </c>
      <c r="AE7" s="8">
        <f t="shared" si="10"/>
        <v>77685.66712321926</v>
      </c>
      <c r="AF7" s="8">
        <f t="shared" si="10"/>
        <v>90761.423428438546</v>
      </c>
      <c r="AG7" s="8">
        <f t="shared" si="10"/>
        <v>113352.79604975686</v>
      </c>
      <c r="AH7" s="8">
        <f t="shared" si="10"/>
        <v>143958.91387523783</v>
      </c>
      <c r="AI7" s="8">
        <f t="shared" si="10"/>
        <v>182378.61858091384</v>
      </c>
      <c r="AJ7" s="8">
        <f t="shared" si="10"/>
        <v>229551.47135759296</v>
      </c>
      <c r="AK7" s="8">
        <f t="shared" si="10"/>
        <v>285900.46682657604</v>
      </c>
      <c r="AL7" s="8">
        <f t="shared" si="10"/>
        <v>353177.46063493373</v>
      </c>
      <c r="AM7" s="8">
        <f t="shared" si="10"/>
        <v>430746.67930912087</v>
      </c>
      <c r="AN7" s="8">
        <f t="shared" si="10"/>
        <v>526336.9882539066</v>
      </c>
      <c r="AO7" s="8">
        <f t="shared" si="10"/>
        <v>641026.34233094926</v>
      </c>
      <c r="AP7" s="8">
        <f t="shared" si="10"/>
        <v>786548.19627656194</v>
      </c>
    </row>
    <row r="8" spans="1:42" x14ac:dyDescent="0.2">
      <c r="A8" t="s">
        <v>31</v>
      </c>
      <c r="B8" s="29">
        <v>0</v>
      </c>
      <c r="C8" s="29">
        <v>0</v>
      </c>
      <c r="D8" s="29">
        <v>0</v>
      </c>
      <c r="E8" s="29">
        <v>0</v>
      </c>
      <c r="F8" s="29">
        <v>0</v>
      </c>
      <c r="G8" s="29">
        <v>0</v>
      </c>
      <c r="H8" s="29">
        <v>0</v>
      </c>
      <c r="I8" s="29">
        <v>0</v>
      </c>
      <c r="J8" s="29">
        <v>0</v>
      </c>
      <c r="K8" s="29">
        <v>0</v>
      </c>
      <c r="L8" s="53">
        <v>1</v>
      </c>
      <c r="M8" s="53">
        <v>1</v>
      </c>
      <c r="N8" s="53">
        <v>1</v>
      </c>
      <c r="O8" s="53">
        <v>1</v>
      </c>
      <c r="P8" s="53">
        <v>1</v>
      </c>
      <c r="Q8" s="53">
        <v>1</v>
      </c>
      <c r="R8" s="53">
        <v>2</v>
      </c>
      <c r="S8" s="53">
        <v>2</v>
      </c>
      <c r="T8" s="29">
        <v>2.12</v>
      </c>
      <c r="U8" s="29">
        <v>2.12</v>
      </c>
      <c r="V8" s="29">
        <v>6</v>
      </c>
      <c r="W8" s="29">
        <v>32.39</v>
      </c>
      <c r="X8" s="29">
        <v>941.31</v>
      </c>
      <c r="Y8" s="29">
        <v>1686.44</v>
      </c>
      <c r="Z8" s="29">
        <v>2631.93</v>
      </c>
      <c r="AA8" s="29">
        <v>3743.97</v>
      </c>
      <c r="AB8" s="8">
        <f>GROWTH(Z8:AA8,Z12:AA12,AB12,TRUE)</f>
        <v>5325.8678463713031</v>
      </c>
      <c r="AC8" s="8">
        <f t="shared" ref="AC8:AP8" si="11">GROWTH(AA8:AB8,AA12:AB12,AC12,TRUE)</f>
        <v>7576.1473294421976</v>
      </c>
      <c r="AD8" s="8">
        <f t="shared" si="11"/>
        <v>10777.212280346268</v>
      </c>
      <c r="AE8" s="8">
        <f t="shared" si="11"/>
        <v>15330.78746822601</v>
      </c>
      <c r="AF8" s="8">
        <f t="shared" si="11"/>
        <v>21808.333944069265</v>
      </c>
      <c r="AG8" s="8">
        <f t="shared" si="11"/>
        <v>31022.765816939336</v>
      </c>
      <c r="AH8" s="8">
        <f t="shared" si="11"/>
        <v>44130.468719018572</v>
      </c>
      <c r="AI8" s="8">
        <f t="shared" si="11"/>
        <v>62776.422993751439</v>
      </c>
      <c r="AJ8" s="8">
        <f t="shared" si="11"/>
        <v>89300.644164516518</v>
      </c>
      <c r="AK8" s="8">
        <f>GROWTH(AI8:AJ8,AI12:AJ12,AK12,TRUE)</f>
        <v>127031.84838982247</v>
      </c>
      <c r="AL8" s="8">
        <f t="shared" si="11"/>
        <v>180705.19710480308</v>
      </c>
      <c r="AM8" s="8">
        <f t="shared" si="11"/>
        <v>257056.54664237678</v>
      </c>
      <c r="AN8" s="8">
        <f t="shared" si="11"/>
        <v>365667.7795126242</v>
      </c>
      <c r="AO8" s="8">
        <f t="shared" si="11"/>
        <v>520169.30407035211</v>
      </c>
      <c r="AP8" s="8">
        <f t="shared" si="11"/>
        <v>739950.63294247165</v>
      </c>
    </row>
    <row r="9" spans="1:42" x14ac:dyDescent="0.2">
      <c r="A9" t="s">
        <v>44</v>
      </c>
      <c r="B9" s="28"/>
      <c r="C9" s="28"/>
      <c r="D9" s="28"/>
      <c r="E9" s="28"/>
      <c r="F9" s="28"/>
      <c r="G9" s="28"/>
      <c r="H9" s="28"/>
      <c r="I9" s="28"/>
      <c r="J9" s="28"/>
      <c r="K9" s="28"/>
      <c r="L9" s="28"/>
      <c r="M9" s="28"/>
      <c r="N9" s="28"/>
      <c r="O9" s="28"/>
      <c r="P9" s="28"/>
      <c r="Q9" s="28"/>
      <c r="R9" s="28"/>
      <c r="S9" s="28"/>
      <c r="T9" s="29">
        <v>1325.63</v>
      </c>
      <c r="U9" s="29">
        <v>1650.43</v>
      </c>
      <c r="V9" s="29">
        <v>2167.73</v>
      </c>
      <c r="W9" s="29">
        <v>2600.13</v>
      </c>
      <c r="X9" s="29">
        <v>3135.33</v>
      </c>
      <c r="Y9" s="29">
        <v>3601.03</v>
      </c>
      <c r="Z9" s="29">
        <v>4013.55</v>
      </c>
      <c r="AA9" s="29">
        <v>4418.55</v>
      </c>
      <c r="AB9" s="8">
        <f>GROWTH(T9:AA9,T1:AA1,AB1,TRUE)</f>
        <v>5798.1968342355103</v>
      </c>
      <c r="AC9" s="8">
        <f t="shared" ref="AC9:AP9" si="12">GROWTH(U9:AB9,U1:AB1,AC1,TRUE)</f>
        <v>6686.139935818941</v>
      </c>
      <c r="AD9" s="8">
        <f t="shared" si="12"/>
        <v>7644.0849911247387</v>
      </c>
      <c r="AE9" s="8">
        <f t="shared" si="12"/>
        <v>8866.2810557709763</v>
      </c>
      <c r="AF9" s="8">
        <f t="shared" si="12"/>
        <v>10326.060875123871</v>
      </c>
      <c r="AG9" s="8">
        <f t="shared" si="12"/>
        <v>12166.78924224209</v>
      </c>
      <c r="AH9" s="8">
        <f t="shared" si="12"/>
        <v>14389.811456364434</v>
      </c>
      <c r="AI9" s="8">
        <f t="shared" si="12"/>
        <v>16886.677029269111</v>
      </c>
      <c r="AJ9" s="8">
        <f t="shared" si="12"/>
        <v>19376.502906948546</v>
      </c>
      <c r="AK9" s="8">
        <f t="shared" si="12"/>
        <v>22731.824231166382</v>
      </c>
      <c r="AL9" s="8">
        <f t="shared" si="12"/>
        <v>26707.457496063274</v>
      </c>
      <c r="AM9" s="8">
        <f t="shared" si="12"/>
        <v>31293.61872522888</v>
      </c>
      <c r="AN9" s="8">
        <f t="shared" si="12"/>
        <v>36600.320598743798</v>
      </c>
      <c r="AO9" s="8">
        <f t="shared" si="12"/>
        <v>42705.645759733416</v>
      </c>
      <c r="AP9" s="8">
        <f t="shared" si="12"/>
        <v>49836.650083196662</v>
      </c>
    </row>
    <row r="10" spans="1:42" x14ac:dyDescent="0.2">
      <c r="A10" t="s">
        <v>45</v>
      </c>
      <c r="B10" s="29">
        <v>63636</v>
      </c>
      <c r="C10" s="28">
        <f>B10+(D10-B10)/2</f>
        <v>66350.5</v>
      </c>
      <c r="D10" s="29">
        <v>69065</v>
      </c>
      <c r="E10" s="28">
        <f>D10+($I10-$D10)/5</f>
        <v>72411</v>
      </c>
      <c r="F10" s="28">
        <f t="shared" ref="F10:H10" si="13">E10+($I10-$D10)/5</f>
        <v>75757</v>
      </c>
      <c r="G10" s="28">
        <f t="shared" si="13"/>
        <v>79103</v>
      </c>
      <c r="H10" s="28">
        <f t="shared" si="13"/>
        <v>82449</v>
      </c>
      <c r="I10" s="29">
        <v>85795</v>
      </c>
      <c r="J10" s="29">
        <v>89102.3</v>
      </c>
      <c r="K10" s="29">
        <v>93253.95</v>
      </c>
      <c r="L10" s="29">
        <v>97836.84</v>
      </c>
      <c r="M10" s="29">
        <v>101660.2</v>
      </c>
      <c r="N10" s="29">
        <v>105046</v>
      </c>
      <c r="O10" s="28">
        <f>N10+($S10-$N10)/5</f>
        <v>110502.6</v>
      </c>
      <c r="P10" s="28">
        <f t="shared" ref="P10:R10" si="14">O10+($S10-$N10)/5</f>
        <v>115959.20000000001</v>
      </c>
      <c r="Q10" s="28">
        <f t="shared" si="14"/>
        <v>121415.80000000002</v>
      </c>
      <c r="R10" s="28">
        <f t="shared" si="14"/>
        <v>126872.40000000002</v>
      </c>
      <c r="S10" s="29">
        <v>132329</v>
      </c>
      <c r="T10" s="29">
        <v>143061</v>
      </c>
      <c r="U10" s="29">
        <v>147965.4</v>
      </c>
      <c r="V10" s="29">
        <v>159398.5</v>
      </c>
      <c r="W10" s="29">
        <v>173626.4</v>
      </c>
      <c r="X10" s="29">
        <v>199877</v>
      </c>
      <c r="Y10" s="29">
        <v>223344</v>
      </c>
      <c r="Z10" s="29">
        <v>245259</v>
      </c>
      <c r="AA10" s="29">
        <v>271722</v>
      </c>
      <c r="AB10" s="8">
        <f>GROWTH(B10:AA10,B1:AA1,AB1,TRUE)</f>
        <v>234964.24580674584</v>
      </c>
      <c r="AC10" s="8">
        <f t="shared" ref="AC10:AP10" si="15">GROWTH(C10:AB10,C1:AB1,AC1,TRUE)</f>
        <v>249385.66495210055</v>
      </c>
      <c r="AD10" s="8">
        <f t="shared" si="15"/>
        <v>264878.97369354242</v>
      </c>
      <c r="AE10" s="8">
        <f t="shared" si="15"/>
        <v>281476.98071742727</v>
      </c>
      <c r="AF10" s="8">
        <f t="shared" si="15"/>
        <v>299419.7545340964</v>
      </c>
      <c r="AG10" s="8">
        <f t="shared" si="15"/>
        <v>318782.33128495194</v>
      </c>
      <c r="AH10" s="8">
        <f t="shared" si="15"/>
        <v>339627.18087454012</v>
      </c>
      <c r="AI10" s="8">
        <f t="shared" si="15"/>
        <v>361997.34870813735</v>
      </c>
      <c r="AJ10" s="8">
        <f t="shared" si="15"/>
        <v>385907.78659261268</v>
      </c>
      <c r="AK10" s="8">
        <f t="shared" si="15"/>
        <v>411319.23678780755</v>
      </c>
      <c r="AL10" s="8">
        <f t="shared" si="15"/>
        <v>438493.40353181883</v>
      </c>
      <c r="AM10" s="8">
        <f t="shared" si="15"/>
        <v>467592.20989081892</v>
      </c>
      <c r="AN10" s="8">
        <f t="shared" si="15"/>
        <v>498293.56335960777</v>
      </c>
      <c r="AO10" s="8">
        <f t="shared" si="15"/>
        <v>530225.5800090601</v>
      </c>
      <c r="AP10" s="8">
        <f t="shared" si="15"/>
        <v>563949.14046208025</v>
      </c>
    </row>
    <row r="12" spans="1:42" x14ac:dyDescent="0.2">
      <c r="A12" t="s">
        <v>185</v>
      </c>
      <c r="B12">
        <v>1</v>
      </c>
      <c r="C12">
        <v>2</v>
      </c>
      <c r="D12">
        <v>3</v>
      </c>
      <c r="E12">
        <v>4</v>
      </c>
      <c r="F12">
        <v>5</v>
      </c>
      <c r="G12">
        <v>6</v>
      </c>
      <c r="H12">
        <v>7</v>
      </c>
      <c r="I12">
        <v>8</v>
      </c>
      <c r="J12">
        <v>9</v>
      </c>
      <c r="K12">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row>
    <row r="16" spans="1:42" x14ac:dyDescent="0.2">
      <c r="A16" s="74" t="s">
        <v>47</v>
      </c>
      <c r="B16" s="74"/>
      <c r="C16" s="74"/>
      <c r="D16" s="74"/>
      <c r="E16" s="74"/>
      <c r="F16" s="74"/>
    </row>
    <row r="17" spans="1:6" x14ac:dyDescent="0.2">
      <c r="A17" s="74"/>
      <c r="B17" s="74"/>
      <c r="C17" s="74"/>
      <c r="D17" s="74"/>
      <c r="E17" s="74"/>
      <c r="F17" s="74"/>
    </row>
    <row r="18" spans="1:6" x14ac:dyDescent="0.2">
      <c r="A18" s="74"/>
      <c r="B18" s="74"/>
      <c r="C18" s="74"/>
      <c r="D18" s="74"/>
      <c r="E18" s="74"/>
      <c r="F18" s="74"/>
    </row>
    <row r="19" spans="1:6" x14ac:dyDescent="0.2">
      <c r="A19" s="74"/>
      <c r="B19" s="74"/>
      <c r="C19" s="74"/>
      <c r="D19" s="74"/>
      <c r="E19" s="74"/>
      <c r="F19" s="74"/>
    </row>
    <row r="20" spans="1:6" x14ac:dyDescent="0.2">
      <c r="A20" s="74"/>
      <c r="B20" s="74"/>
      <c r="C20" s="74"/>
      <c r="D20" s="74"/>
      <c r="E20" s="74"/>
      <c r="F20" s="74"/>
    </row>
  </sheetData>
  <mergeCells count="1">
    <mergeCell ref="A16:F2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opLeftCell="A43" zoomScale="91" zoomScaleNormal="91" zoomScalePageLayoutView="91" workbookViewId="0">
      <selection activeCell="Q42" sqref="Q42"/>
    </sheetView>
  </sheetViews>
  <sheetFormatPr baseColWidth="10" defaultColWidth="8.83203125" defaultRowHeight="15" x14ac:dyDescent="0.2"/>
  <cols>
    <col min="1" max="1" width="55.5" bestFit="1" customWidth="1"/>
  </cols>
  <sheetData>
    <row r="1" spans="1:27" x14ac:dyDescent="0.2">
      <c r="A1" t="s">
        <v>34</v>
      </c>
      <c r="B1" s="19">
        <v>1990</v>
      </c>
      <c r="C1" s="19">
        <v>1991</v>
      </c>
      <c r="D1" s="19">
        <v>1992</v>
      </c>
      <c r="E1" s="19">
        <v>1993</v>
      </c>
      <c r="F1" s="19">
        <v>1994</v>
      </c>
      <c r="G1" s="19">
        <v>1995</v>
      </c>
      <c r="H1" s="19">
        <v>1996</v>
      </c>
      <c r="I1" s="19">
        <v>1997</v>
      </c>
      <c r="J1" s="19">
        <v>1998</v>
      </c>
      <c r="K1" s="19">
        <v>1999</v>
      </c>
      <c r="L1" s="19">
        <v>2000</v>
      </c>
      <c r="M1" s="19">
        <v>2001</v>
      </c>
      <c r="N1" s="19">
        <v>2002</v>
      </c>
      <c r="O1" s="19">
        <v>2003</v>
      </c>
      <c r="P1" s="19">
        <v>2004</v>
      </c>
      <c r="Q1" s="19">
        <v>2005</v>
      </c>
      <c r="R1" s="19">
        <v>2006</v>
      </c>
      <c r="S1" s="19">
        <v>2007</v>
      </c>
      <c r="T1" s="19">
        <v>2008</v>
      </c>
      <c r="U1" s="19">
        <v>2009</v>
      </c>
      <c r="V1" s="19">
        <v>2010</v>
      </c>
      <c r="W1" s="19">
        <v>2011</v>
      </c>
      <c r="X1" s="19">
        <v>2012</v>
      </c>
      <c r="Y1" s="19">
        <v>2013</v>
      </c>
      <c r="Z1" s="19">
        <v>2014</v>
      </c>
      <c r="AA1" s="19">
        <v>2015</v>
      </c>
    </row>
    <row r="2" spans="1:27" x14ac:dyDescent="0.2">
      <c r="A2" t="s">
        <v>137</v>
      </c>
      <c r="B2" t="s">
        <v>138</v>
      </c>
    </row>
    <row r="3" spans="1:27" x14ac:dyDescent="0.2">
      <c r="A3" t="s">
        <v>69</v>
      </c>
    </row>
    <row r="4" spans="1:27" x14ac:dyDescent="0.2">
      <c r="A4" t="s">
        <v>38</v>
      </c>
      <c r="B4" s="40">
        <v>0.48965999999999998</v>
      </c>
      <c r="C4" s="40">
        <v>0.47926000000000002</v>
      </c>
      <c r="D4" s="40">
        <v>0.45761000000000002</v>
      </c>
      <c r="E4" s="40">
        <v>0.42593999999999999</v>
      </c>
      <c r="F4" s="40">
        <v>0.38962999999999998</v>
      </c>
      <c r="G4" s="40">
        <v>0.36813000000000001</v>
      </c>
      <c r="H4" s="40">
        <v>0.34834999999999999</v>
      </c>
      <c r="I4" s="40">
        <v>0.32812000000000002</v>
      </c>
      <c r="J4" s="40">
        <v>0.31469999999999998</v>
      </c>
      <c r="K4" s="40">
        <v>0.30817</v>
      </c>
      <c r="L4" s="40">
        <v>0.30386000000000002</v>
      </c>
      <c r="M4" s="40">
        <v>0.30064999999999997</v>
      </c>
      <c r="N4" s="40">
        <v>0.29797000000000001</v>
      </c>
      <c r="O4" s="40">
        <v>0.29582999999999998</v>
      </c>
      <c r="P4" s="40">
        <v>0.29425000000000001</v>
      </c>
      <c r="Q4" s="40">
        <v>0.29332999999999998</v>
      </c>
      <c r="R4" s="40">
        <v>0.2928</v>
      </c>
      <c r="S4" s="40">
        <v>0.29287999999999997</v>
      </c>
      <c r="T4" s="40">
        <v>0.29154999999999998</v>
      </c>
      <c r="U4" s="40">
        <v>0.28782000000000002</v>
      </c>
      <c r="V4" s="40">
        <v>0.26255000000000001</v>
      </c>
      <c r="W4" s="40">
        <v>0.22911999999999999</v>
      </c>
      <c r="X4" s="40">
        <v>0.19289999999999999</v>
      </c>
      <c r="Y4" s="40">
        <v>0.19012999999999999</v>
      </c>
      <c r="Z4" s="40">
        <v>0.19095000000000001</v>
      </c>
      <c r="AA4" s="40">
        <v>0.18273</v>
      </c>
    </row>
    <row r="5" spans="1:27" x14ac:dyDescent="0.2">
      <c r="A5" t="s">
        <v>39</v>
      </c>
      <c r="B5" s="40">
        <v>0.14845</v>
      </c>
      <c r="C5" s="40">
        <v>0.15484999999999999</v>
      </c>
      <c r="D5" s="40">
        <v>0.16170000000000001</v>
      </c>
      <c r="E5" s="40">
        <v>0.17007</v>
      </c>
      <c r="F5" s="40">
        <v>0.17871999999999999</v>
      </c>
      <c r="G5" s="40">
        <v>0.18562999999999999</v>
      </c>
      <c r="H5" s="40">
        <v>0.19144</v>
      </c>
      <c r="I5" s="40">
        <v>0.19547</v>
      </c>
      <c r="J5" s="40">
        <v>0.19828000000000001</v>
      </c>
      <c r="K5" s="40">
        <v>0.20082</v>
      </c>
      <c r="L5" s="40">
        <v>0.20315</v>
      </c>
      <c r="M5" s="40">
        <v>0.20521</v>
      </c>
      <c r="N5" s="40">
        <v>0.20705000000000001</v>
      </c>
      <c r="O5" s="40">
        <v>0.20868999999999999</v>
      </c>
      <c r="P5" s="40">
        <v>0.21017</v>
      </c>
      <c r="Q5" s="40">
        <v>0.21151</v>
      </c>
      <c r="R5" s="40">
        <v>0.21273</v>
      </c>
      <c r="S5" s="40">
        <v>0.21385999999999999</v>
      </c>
      <c r="T5" s="40">
        <v>0.21401000000000001</v>
      </c>
      <c r="U5" s="40">
        <v>0.21260000000000001</v>
      </c>
      <c r="V5" s="40">
        <v>0.19463</v>
      </c>
      <c r="W5" s="40">
        <v>0.17063</v>
      </c>
      <c r="X5" s="40">
        <v>0.14488999999999999</v>
      </c>
      <c r="Y5" s="40">
        <v>0.14332</v>
      </c>
      <c r="Z5" s="40">
        <v>0.14385999999999999</v>
      </c>
      <c r="AA5" s="40">
        <v>0.13744999999999999</v>
      </c>
    </row>
    <row r="6" spans="1:27" x14ac:dyDescent="0.2">
      <c r="A6" t="s">
        <v>40</v>
      </c>
      <c r="B6" s="40">
        <v>0.20380000000000001</v>
      </c>
      <c r="C6" s="40">
        <v>0.20638000000000001</v>
      </c>
      <c r="D6" s="40">
        <v>0.21561</v>
      </c>
      <c r="E6" s="40">
        <v>0.22953000000000001</v>
      </c>
      <c r="F6" s="40">
        <v>0.2452</v>
      </c>
      <c r="G6" s="40">
        <v>0.25362000000000001</v>
      </c>
      <c r="H6" s="40">
        <v>0.26172000000000001</v>
      </c>
      <c r="I6" s="40">
        <v>0.27124999999999999</v>
      </c>
      <c r="J6" s="40">
        <v>0.27754000000000001</v>
      </c>
      <c r="K6" s="40">
        <v>0.27993000000000001</v>
      </c>
      <c r="L6" s="40">
        <v>0.28100999999999998</v>
      </c>
      <c r="M6" s="40">
        <v>0.28158</v>
      </c>
      <c r="N6" s="40">
        <v>0.28186</v>
      </c>
      <c r="O6" s="40">
        <v>0.28193000000000001</v>
      </c>
      <c r="P6" s="40">
        <v>0.28177999999999997</v>
      </c>
      <c r="Q6" s="40">
        <v>0.28144000000000002</v>
      </c>
      <c r="R6" s="40">
        <v>0.28094999999999998</v>
      </c>
      <c r="S6" s="40">
        <v>0.28017999999999998</v>
      </c>
      <c r="T6" s="40">
        <v>0.28101999999999999</v>
      </c>
      <c r="U6" s="40">
        <v>0.28444000000000003</v>
      </c>
      <c r="V6" s="40">
        <v>0.32668000000000003</v>
      </c>
      <c r="W6" s="40">
        <v>0.38305</v>
      </c>
      <c r="X6" s="40">
        <v>0.44284000000000001</v>
      </c>
      <c r="Y6" s="40">
        <v>0.41387000000000002</v>
      </c>
      <c r="Z6" s="40">
        <v>0.38103999999999999</v>
      </c>
      <c r="AA6" s="40">
        <v>0.38455</v>
      </c>
    </row>
    <row r="7" spans="1:27" x14ac:dyDescent="0.2">
      <c r="A7" t="s">
        <v>41</v>
      </c>
      <c r="B7" s="40">
        <v>0.15809000000000001</v>
      </c>
      <c r="C7" s="40">
        <v>0.15952</v>
      </c>
      <c r="D7" s="40">
        <v>0.16508999999999999</v>
      </c>
      <c r="E7" s="40">
        <v>0.17446999999999999</v>
      </c>
      <c r="F7" s="40">
        <v>0.18645</v>
      </c>
      <c r="G7" s="40">
        <v>0.19262000000000001</v>
      </c>
      <c r="H7" s="40">
        <v>0.19849</v>
      </c>
      <c r="I7" s="40">
        <v>0.20515</v>
      </c>
      <c r="J7" s="40">
        <v>0.20946999999999999</v>
      </c>
      <c r="K7" s="40">
        <v>0.21107000000000001</v>
      </c>
      <c r="L7" s="40">
        <v>0.21198</v>
      </c>
      <c r="M7" s="40">
        <v>0.21256</v>
      </c>
      <c r="N7" s="40">
        <v>0.21312</v>
      </c>
      <c r="O7" s="40">
        <v>0.21354999999999999</v>
      </c>
      <c r="P7" s="40">
        <v>0.21379000000000001</v>
      </c>
      <c r="Q7" s="40">
        <v>0.21373</v>
      </c>
      <c r="R7" s="40">
        <v>0.21353</v>
      </c>
      <c r="S7" s="40">
        <v>0.21307999999999999</v>
      </c>
      <c r="T7" s="40">
        <v>0.21342</v>
      </c>
      <c r="U7" s="40">
        <v>0.21512999999999999</v>
      </c>
      <c r="V7" s="40">
        <v>0.21615000000000001</v>
      </c>
      <c r="W7" s="40">
        <v>0.21720999999999999</v>
      </c>
      <c r="X7" s="40">
        <v>0.21937000000000001</v>
      </c>
      <c r="Y7" s="40">
        <v>0.25268000000000002</v>
      </c>
      <c r="Z7" s="40">
        <v>0.28415000000000001</v>
      </c>
      <c r="AA7" s="40">
        <v>0.29527999999999999</v>
      </c>
    </row>
    <row r="9" spans="1:27" x14ac:dyDescent="0.2">
      <c r="A9" t="s">
        <v>71</v>
      </c>
    </row>
    <row r="10" spans="1:27" x14ac:dyDescent="0.2">
      <c r="A10" t="s">
        <v>38</v>
      </c>
      <c r="B10">
        <v>0.87033000000000005</v>
      </c>
      <c r="C10">
        <v>0.83155000000000001</v>
      </c>
      <c r="D10">
        <v>0.75212000000000001</v>
      </c>
      <c r="E10">
        <v>0.70459000000000005</v>
      </c>
      <c r="F10">
        <v>0.64493999999999996</v>
      </c>
      <c r="G10">
        <v>0.54298999999999997</v>
      </c>
      <c r="H10">
        <v>0.61151999999999995</v>
      </c>
      <c r="I10">
        <v>0.66683000000000003</v>
      </c>
      <c r="J10">
        <v>0.67564999999999997</v>
      </c>
      <c r="K10">
        <v>0.62197000000000002</v>
      </c>
      <c r="L10">
        <v>0.63558000000000003</v>
      </c>
      <c r="M10">
        <v>0.48126999999999998</v>
      </c>
      <c r="N10">
        <v>0.56272</v>
      </c>
      <c r="O10">
        <v>0.41948999999999997</v>
      </c>
      <c r="P10">
        <v>0.32196999999999998</v>
      </c>
      <c r="Q10">
        <v>0.27694999999999997</v>
      </c>
      <c r="R10">
        <v>0.47872999999999999</v>
      </c>
      <c r="S10">
        <v>0.68559999999999999</v>
      </c>
      <c r="T10">
        <v>0.29737999999999998</v>
      </c>
      <c r="U10">
        <v>0.60351999999999995</v>
      </c>
      <c r="V10">
        <v>0.65569</v>
      </c>
      <c r="W10">
        <v>0.61260000000000003</v>
      </c>
      <c r="X10">
        <v>0.74583999999999995</v>
      </c>
      <c r="Y10">
        <v>0.64509000000000005</v>
      </c>
      <c r="Z10">
        <v>0.72336999999999996</v>
      </c>
      <c r="AA10">
        <v>0.77841000000000005</v>
      </c>
    </row>
    <row r="11" spans="1:27" x14ac:dyDescent="0.2">
      <c r="A11" t="s">
        <v>72</v>
      </c>
      <c r="B11">
        <v>6.8589999999999998E-2</v>
      </c>
      <c r="C11">
        <v>0.16844999999999999</v>
      </c>
      <c r="D11">
        <v>0.20580999999999999</v>
      </c>
      <c r="E11">
        <v>0.19281000000000001</v>
      </c>
      <c r="F11">
        <v>0.10749</v>
      </c>
      <c r="G11">
        <v>0.17194999999999999</v>
      </c>
      <c r="H11">
        <v>0.17782999999999999</v>
      </c>
      <c r="I11">
        <v>0.25641000000000003</v>
      </c>
      <c r="J11">
        <v>0.25979999999999998</v>
      </c>
      <c r="K11">
        <v>0.23916000000000001</v>
      </c>
      <c r="L11">
        <v>0.24439</v>
      </c>
      <c r="M11">
        <v>0.18506</v>
      </c>
      <c r="N11">
        <v>0.10553</v>
      </c>
      <c r="O11">
        <v>7.8670000000000004E-2</v>
      </c>
      <c r="P11">
        <v>6.0380000000000003E-2</v>
      </c>
      <c r="Q11">
        <v>5.194E-2</v>
      </c>
      <c r="R11">
        <v>8.9779999999999999E-2</v>
      </c>
      <c r="S11">
        <v>9.2780000000000001E-2</v>
      </c>
      <c r="T11">
        <v>2.316E-2</v>
      </c>
      <c r="U11">
        <v>0.13388</v>
      </c>
      <c r="V11">
        <v>2.8129999999999999E-2</v>
      </c>
      <c r="W11">
        <v>1.5779999999999999E-2</v>
      </c>
      <c r="X11">
        <v>4.7239999999999997E-2</v>
      </c>
      <c r="Y11">
        <v>4.777E-2</v>
      </c>
      <c r="Z11">
        <v>3.1879999999999999E-2</v>
      </c>
      <c r="AA11">
        <v>2.0709999999999999E-2</v>
      </c>
    </row>
    <row r="12" spans="1:27" x14ac:dyDescent="0.2">
      <c r="A12" t="s">
        <v>73</v>
      </c>
      <c r="B12">
        <v>6.1080000000000002E-2</v>
      </c>
      <c r="C12">
        <v>0</v>
      </c>
      <c r="D12">
        <v>4.2070000000000003E-2</v>
      </c>
      <c r="E12">
        <v>0.1026</v>
      </c>
      <c r="F12">
        <v>0.24757000000000001</v>
      </c>
      <c r="G12">
        <v>0.28505999999999998</v>
      </c>
      <c r="H12">
        <v>0.21065</v>
      </c>
      <c r="I12">
        <v>7.6759999999999995E-2</v>
      </c>
      <c r="J12">
        <v>6.4549999999999996E-2</v>
      </c>
      <c r="K12">
        <v>0.13639000000000001</v>
      </c>
      <c r="L12">
        <v>0.12003</v>
      </c>
      <c r="M12">
        <v>0.33367000000000002</v>
      </c>
      <c r="N12">
        <v>0.33174999999999999</v>
      </c>
      <c r="O12">
        <v>0.50183999999999995</v>
      </c>
      <c r="P12">
        <v>0.61765000000000003</v>
      </c>
      <c r="Q12">
        <v>0.67042999999999997</v>
      </c>
      <c r="R12">
        <v>0.43148999999999998</v>
      </c>
      <c r="S12">
        <v>0.22156000000000001</v>
      </c>
      <c r="T12">
        <v>0.67945999999999995</v>
      </c>
      <c r="U12">
        <v>0.26144000000000001</v>
      </c>
      <c r="V12">
        <v>0.31086000000000003</v>
      </c>
      <c r="W12">
        <v>0.28763</v>
      </c>
      <c r="X12">
        <v>0.13100999999999999</v>
      </c>
      <c r="Y12">
        <v>0.21579000000000001</v>
      </c>
      <c r="Z12">
        <v>0.16012000000000001</v>
      </c>
      <c r="AA12">
        <v>0.12098</v>
      </c>
    </row>
    <row r="13" spans="1:27" x14ac:dyDescent="0.2">
      <c r="A13" t="s">
        <v>74</v>
      </c>
      <c r="B13">
        <v>0</v>
      </c>
      <c r="C13">
        <v>0</v>
      </c>
      <c r="D13">
        <v>0</v>
      </c>
      <c r="E13">
        <v>0</v>
      </c>
      <c r="F13">
        <v>0</v>
      </c>
      <c r="G13">
        <v>0</v>
      </c>
      <c r="H13">
        <v>0</v>
      </c>
      <c r="I13">
        <v>0</v>
      </c>
      <c r="J13">
        <v>0</v>
      </c>
      <c r="K13">
        <v>2.49E-3</v>
      </c>
      <c r="L13">
        <v>0</v>
      </c>
      <c r="M13">
        <v>0</v>
      </c>
      <c r="N13">
        <v>0</v>
      </c>
      <c r="O13">
        <v>0</v>
      </c>
      <c r="P13">
        <v>0</v>
      </c>
      <c r="Q13">
        <v>6.8999999999999997E-4</v>
      </c>
      <c r="R13">
        <v>0</v>
      </c>
      <c r="S13">
        <v>6.0000000000000002E-5</v>
      </c>
      <c r="T13">
        <v>0</v>
      </c>
      <c r="U13">
        <v>1.17E-3</v>
      </c>
      <c r="V13">
        <v>5.3200000000000001E-3</v>
      </c>
      <c r="W13">
        <v>8.3989999999999995E-2</v>
      </c>
      <c r="X13">
        <v>7.5910000000000005E-2</v>
      </c>
      <c r="Y13">
        <v>9.1350000000000001E-2</v>
      </c>
      <c r="Z13">
        <v>8.4629999999999997E-2</v>
      </c>
      <c r="AA13">
        <v>7.9899999999999999E-2</v>
      </c>
    </row>
    <row r="16" spans="1:27" x14ac:dyDescent="0.2">
      <c r="A16" t="s">
        <v>153</v>
      </c>
    </row>
    <row r="17" spans="1:27" x14ac:dyDescent="0.2">
      <c r="A17" t="s">
        <v>28</v>
      </c>
      <c r="B17">
        <f t="shared" ref="B17:AA17" si="0">B10/B4</f>
        <v>1.7774169832128417</v>
      </c>
      <c r="C17">
        <f t="shared" si="0"/>
        <v>1.7350707340483245</v>
      </c>
      <c r="D17">
        <f t="shared" si="0"/>
        <v>1.6435829636590109</v>
      </c>
      <c r="E17">
        <f t="shared" si="0"/>
        <v>1.6542001220829226</v>
      </c>
      <c r="F17">
        <f t="shared" si="0"/>
        <v>1.655262685111516</v>
      </c>
      <c r="G17">
        <f t="shared" si="0"/>
        <v>1.474995246244533</v>
      </c>
      <c r="H17">
        <f t="shared" si="0"/>
        <v>1.7554758145543274</v>
      </c>
      <c r="I17">
        <f t="shared" si="0"/>
        <v>2.0322747775204193</v>
      </c>
      <c r="J17">
        <f t="shared" si="0"/>
        <v>2.1469653638385764</v>
      </c>
      <c r="K17">
        <f t="shared" si="0"/>
        <v>2.0182691371645523</v>
      </c>
      <c r="L17">
        <f t="shared" si="0"/>
        <v>2.0916869611005069</v>
      </c>
      <c r="M17">
        <f t="shared" si="0"/>
        <v>1.6007650091468486</v>
      </c>
      <c r="N17">
        <f t="shared" si="0"/>
        <v>1.8885122663355371</v>
      </c>
      <c r="O17">
        <f t="shared" si="0"/>
        <v>1.4180103437785214</v>
      </c>
      <c r="P17">
        <f t="shared" si="0"/>
        <v>1.0942056074766353</v>
      </c>
      <c r="Q17">
        <f t="shared" si="0"/>
        <v>0.94415845634609485</v>
      </c>
      <c r="R17">
        <f t="shared" si="0"/>
        <v>1.6350068306010928</v>
      </c>
      <c r="S17">
        <f t="shared" si="0"/>
        <v>2.340890467085496</v>
      </c>
      <c r="T17">
        <f t="shared" si="0"/>
        <v>1.0199965700565941</v>
      </c>
      <c r="U17">
        <f t="shared" si="0"/>
        <v>2.0968660968660964</v>
      </c>
      <c r="V17">
        <f t="shared" si="0"/>
        <v>2.4973909731479718</v>
      </c>
      <c r="W17">
        <f t="shared" si="0"/>
        <v>2.6737081005586596</v>
      </c>
      <c r="X17">
        <f t="shared" si="0"/>
        <v>3.866459305339554</v>
      </c>
      <c r="Y17">
        <f t="shared" si="0"/>
        <v>3.3928890758954404</v>
      </c>
      <c r="Z17">
        <f t="shared" si="0"/>
        <v>3.7882691804137205</v>
      </c>
      <c r="AA17">
        <f t="shared" si="0"/>
        <v>4.2598916434083076</v>
      </c>
    </row>
    <row r="18" spans="1:27" x14ac:dyDescent="0.2">
      <c r="A18" t="s">
        <v>29</v>
      </c>
      <c r="B18">
        <f t="shared" ref="B18:AA18" si="1">B11/B5</f>
        <v>0.4620410912765241</v>
      </c>
      <c r="C18">
        <f t="shared" si="1"/>
        <v>1.0878269292864062</v>
      </c>
      <c r="D18">
        <f t="shared" si="1"/>
        <v>1.2727891156462583</v>
      </c>
      <c r="E18">
        <f t="shared" si="1"/>
        <v>1.133709648968072</v>
      </c>
      <c r="F18">
        <f t="shared" si="1"/>
        <v>0.60144359892569388</v>
      </c>
      <c r="G18">
        <f t="shared" si="1"/>
        <v>0.92630501535312182</v>
      </c>
      <c r="H18">
        <f t="shared" si="1"/>
        <v>0.92890722941913906</v>
      </c>
      <c r="I18">
        <f t="shared" si="1"/>
        <v>1.3117613956105798</v>
      </c>
      <c r="J18">
        <f t="shared" si="1"/>
        <v>1.3102683074440185</v>
      </c>
      <c r="K18">
        <f t="shared" si="1"/>
        <v>1.190917239318793</v>
      </c>
      <c r="L18">
        <f t="shared" si="1"/>
        <v>1.2030027073590943</v>
      </c>
      <c r="M18">
        <f t="shared" si="1"/>
        <v>0.90180790409824085</v>
      </c>
      <c r="N18">
        <f t="shared" si="1"/>
        <v>0.50968365129195847</v>
      </c>
      <c r="O18">
        <f t="shared" si="1"/>
        <v>0.37697062628779532</v>
      </c>
      <c r="P18">
        <f t="shared" si="1"/>
        <v>0.28729124042441834</v>
      </c>
      <c r="Q18">
        <f t="shared" si="1"/>
        <v>0.2455675854569524</v>
      </c>
      <c r="R18">
        <f t="shared" si="1"/>
        <v>0.42203732430780799</v>
      </c>
      <c r="S18">
        <f t="shared" si="1"/>
        <v>0.43383521930234736</v>
      </c>
      <c r="T18">
        <f t="shared" si="1"/>
        <v>0.10821924209149104</v>
      </c>
      <c r="U18">
        <f t="shared" si="1"/>
        <v>0.62972718720602061</v>
      </c>
      <c r="V18">
        <f t="shared" si="1"/>
        <v>0.14453064789600781</v>
      </c>
      <c r="W18">
        <f t="shared" si="1"/>
        <v>9.2480806423254985E-2</v>
      </c>
      <c r="X18">
        <f t="shared" si="1"/>
        <v>0.32604044447511904</v>
      </c>
      <c r="Y18">
        <f t="shared" si="1"/>
        <v>0.33331007535584706</v>
      </c>
      <c r="Z18">
        <f t="shared" si="1"/>
        <v>0.22160433755039624</v>
      </c>
      <c r="AA18">
        <f t="shared" si="1"/>
        <v>0.1506729719898145</v>
      </c>
    </row>
    <row r="19" spans="1:27" x14ac:dyDescent="0.2">
      <c r="A19" t="s">
        <v>30</v>
      </c>
      <c r="B19">
        <f t="shared" ref="B19:AA19" si="2">B12/B6</f>
        <v>0.2997055937193327</v>
      </c>
      <c r="C19">
        <f t="shared" si="2"/>
        <v>0</v>
      </c>
      <c r="D19">
        <f t="shared" si="2"/>
        <v>0.19512081999907241</v>
      </c>
      <c r="E19">
        <f t="shared" si="2"/>
        <v>0.44700039210560705</v>
      </c>
      <c r="F19">
        <f t="shared" si="2"/>
        <v>1.0096655791190865</v>
      </c>
      <c r="G19">
        <f t="shared" si="2"/>
        <v>1.1239649869884076</v>
      </c>
      <c r="H19">
        <f t="shared" si="2"/>
        <v>0.80486779764633964</v>
      </c>
      <c r="I19">
        <f t="shared" si="2"/>
        <v>0.28298617511520735</v>
      </c>
      <c r="J19">
        <f t="shared" si="2"/>
        <v>0.23257908769907037</v>
      </c>
      <c r="K19">
        <f t="shared" si="2"/>
        <v>0.48722895009466655</v>
      </c>
      <c r="L19">
        <f t="shared" si="2"/>
        <v>0.42713782427671615</v>
      </c>
      <c r="M19">
        <f t="shared" si="2"/>
        <v>1.1849918318062362</v>
      </c>
      <c r="N19">
        <f t="shared" si="2"/>
        <v>1.1770027673312993</v>
      </c>
      <c r="O19">
        <f t="shared" si="2"/>
        <v>1.7800163161068348</v>
      </c>
      <c r="P19">
        <f t="shared" si="2"/>
        <v>2.1919582653133651</v>
      </c>
      <c r="Q19">
        <f t="shared" si="2"/>
        <v>2.3821418419556561</v>
      </c>
      <c r="R19">
        <f t="shared" si="2"/>
        <v>1.5358248798718634</v>
      </c>
      <c r="S19">
        <f t="shared" si="2"/>
        <v>0.79077735741309163</v>
      </c>
      <c r="T19">
        <f t="shared" si="2"/>
        <v>2.4178350295352642</v>
      </c>
      <c r="U19">
        <f t="shared" si="2"/>
        <v>0.91913936155252418</v>
      </c>
      <c r="V19">
        <f t="shared" si="2"/>
        <v>0.95157340516713607</v>
      </c>
      <c r="W19">
        <f t="shared" si="2"/>
        <v>0.75089413914632552</v>
      </c>
      <c r="X19">
        <f t="shared" si="2"/>
        <v>0.29584048414777342</v>
      </c>
      <c r="Y19">
        <f t="shared" si="2"/>
        <v>0.52139560731630707</v>
      </c>
      <c r="Z19">
        <f t="shared" si="2"/>
        <v>0.42021834977955075</v>
      </c>
      <c r="AA19">
        <f t="shared" si="2"/>
        <v>0.31460148225198287</v>
      </c>
    </row>
    <row r="20" spans="1:27" x14ac:dyDescent="0.2">
      <c r="A20" t="s">
        <v>31</v>
      </c>
      <c r="B20">
        <f t="shared" ref="B20:AA20" si="3">B13/B7</f>
        <v>0</v>
      </c>
      <c r="C20">
        <f t="shared" si="3"/>
        <v>0</v>
      </c>
      <c r="D20">
        <f t="shared" si="3"/>
        <v>0</v>
      </c>
      <c r="E20">
        <f t="shared" si="3"/>
        <v>0</v>
      </c>
      <c r="F20">
        <f t="shared" si="3"/>
        <v>0</v>
      </c>
      <c r="G20">
        <f t="shared" si="3"/>
        <v>0</v>
      </c>
      <c r="H20">
        <f t="shared" si="3"/>
        <v>0</v>
      </c>
      <c r="I20">
        <f t="shared" si="3"/>
        <v>0</v>
      </c>
      <c r="J20">
        <f t="shared" si="3"/>
        <v>0</v>
      </c>
      <c r="K20">
        <f t="shared" si="3"/>
        <v>1.179703415928365E-2</v>
      </c>
      <c r="L20">
        <f t="shared" si="3"/>
        <v>0</v>
      </c>
      <c r="M20">
        <f t="shared" si="3"/>
        <v>0</v>
      </c>
      <c r="N20">
        <f t="shared" si="3"/>
        <v>0</v>
      </c>
      <c r="O20">
        <f t="shared" si="3"/>
        <v>0</v>
      </c>
      <c r="P20">
        <f t="shared" si="3"/>
        <v>0</v>
      </c>
      <c r="Q20">
        <f t="shared" si="3"/>
        <v>3.2283722453562906E-3</v>
      </c>
      <c r="R20">
        <f t="shared" si="3"/>
        <v>0</v>
      </c>
      <c r="S20">
        <f t="shared" si="3"/>
        <v>2.8158438145297541E-4</v>
      </c>
      <c r="T20">
        <f t="shared" si="3"/>
        <v>0</v>
      </c>
      <c r="U20">
        <f t="shared" si="3"/>
        <v>5.4385720262167068E-3</v>
      </c>
      <c r="V20">
        <f t="shared" si="3"/>
        <v>2.4612537589636826E-2</v>
      </c>
      <c r="W20">
        <f t="shared" si="3"/>
        <v>0.38667648819115141</v>
      </c>
      <c r="X20">
        <f t="shared" si="3"/>
        <v>0.34603637689747918</v>
      </c>
      <c r="Y20">
        <f t="shared" si="3"/>
        <v>0.36152445781225262</v>
      </c>
      <c r="Z20">
        <f t="shared" si="3"/>
        <v>0.29783565018476155</v>
      </c>
      <c r="AA20">
        <f t="shared" si="3"/>
        <v>0.27059062584665405</v>
      </c>
    </row>
    <row r="23" spans="1:27" ht="15" customHeight="1" x14ac:dyDescent="0.2">
      <c r="A23" s="74" t="s">
        <v>75</v>
      </c>
      <c r="B23" s="74"/>
      <c r="C23" s="74"/>
    </row>
    <row r="24" spans="1:27" x14ac:dyDescent="0.2">
      <c r="A24" s="74"/>
      <c r="B24" s="74"/>
      <c r="C24" s="74"/>
    </row>
    <row r="25" spans="1:27" x14ac:dyDescent="0.2">
      <c r="A25" s="74"/>
      <c r="B25" s="74"/>
      <c r="C25" s="74"/>
    </row>
    <row r="26" spans="1:27" x14ac:dyDescent="0.2">
      <c r="A26" s="74"/>
      <c r="B26" s="74"/>
      <c r="C26" s="74"/>
    </row>
    <row r="27" spans="1:27" x14ac:dyDescent="0.2">
      <c r="A27" s="74"/>
      <c r="B27" s="74"/>
      <c r="C27" s="74"/>
    </row>
    <row r="30" spans="1:27" x14ac:dyDescent="0.2">
      <c r="A30" t="s">
        <v>34</v>
      </c>
      <c r="B30">
        <v>1990</v>
      </c>
      <c r="C30">
        <v>1991</v>
      </c>
      <c r="D30">
        <v>1992</v>
      </c>
      <c r="E30">
        <v>1993</v>
      </c>
      <c r="F30">
        <v>1994</v>
      </c>
      <c r="G30">
        <v>1995</v>
      </c>
      <c r="H30">
        <v>1996</v>
      </c>
      <c r="I30">
        <v>1997</v>
      </c>
      <c r="J30">
        <v>1998</v>
      </c>
      <c r="K30">
        <v>1999</v>
      </c>
      <c r="L30">
        <v>2000</v>
      </c>
      <c r="M30">
        <v>2001</v>
      </c>
      <c r="N30">
        <v>2002</v>
      </c>
      <c r="O30">
        <v>2003</v>
      </c>
      <c r="P30">
        <v>2004</v>
      </c>
      <c r="Q30">
        <v>2005</v>
      </c>
      <c r="R30">
        <v>2006</v>
      </c>
      <c r="S30">
        <v>2007</v>
      </c>
      <c r="T30">
        <v>2008</v>
      </c>
      <c r="U30">
        <v>2009</v>
      </c>
      <c r="V30">
        <v>2010</v>
      </c>
      <c r="W30">
        <v>2011</v>
      </c>
      <c r="X30">
        <v>2012</v>
      </c>
      <c r="Y30">
        <v>2013</v>
      </c>
      <c r="Z30">
        <v>2014</v>
      </c>
      <c r="AA30">
        <v>2015</v>
      </c>
    </row>
    <row r="31" spans="1:27" x14ac:dyDescent="0.2">
      <c r="A31" t="s">
        <v>137</v>
      </c>
      <c r="B31" t="s">
        <v>138</v>
      </c>
    </row>
    <row r="32" spans="1:27" x14ac:dyDescent="0.2">
      <c r="A32" t="s">
        <v>69</v>
      </c>
    </row>
    <row r="33" spans="1:27" x14ac:dyDescent="0.2">
      <c r="A33" t="s">
        <v>38</v>
      </c>
      <c r="B33">
        <v>0.48965999999999998</v>
      </c>
      <c r="C33">
        <v>0.47926000000000002</v>
      </c>
      <c r="D33">
        <v>0.45761000000000002</v>
      </c>
      <c r="E33">
        <v>0.42593999999999999</v>
      </c>
      <c r="F33">
        <v>0.38962999999999998</v>
      </c>
      <c r="G33">
        <v>0.36813000000000001</v>
      </c>
      <c r="H33">
        <v>0.34834999999999999</v>
      </c>
      <c r="I33">
        <v>0.32812000000000002</v>
      </c>
      <c r="J33">
        <v>0.31469999999999998</v>
      </c>
      <c r="K33">
        <v>0.30817</v>
      </c>
      <c r="L33">
        <v>0.30386000000000002</v>
      </c>
      <c r="M33">
        <v>0.30064999999999997</v>
      </c>
      <c r="N33">
        <v>0.29797000000000001</v>
      </c>
      <c r="O33">
        <v>0.29582999999999998</v>
      </c>
      <c r="P33">
        <v>0.29425000000000001</v>
      </c>
      <c r="Q33">
        <v>0.29332999999999998</v>
      </c>
      <c r="R33">
        <v>0.2928</v>
      </c>
      <c r="S33">
        <v>0.29287999999999997</v>
      </c>
      <c r="T33">
        <v>0.29154999999999998</v>
      </c>
      <c r="U33">
        <v>0.28782000000000002</v>
      </c>
      <c r="V33">
        <v>0.26255000000000001</v>
      </c>
      <c r="W33">
        <v>0.22911999999999999</v>
      </c>
      <c r="X33">
        <v>0.19289999999999999</v>
      </c>
      <c r="Y33">
        <v>0.19012999999999999</v>
      </c>
      <c r="Z33">
        <v>0.19095000000000001</v>
      </c>
      <c r="AA33">
        <v>0.18273</v>
      </c>
    </row>
    <row r="34" spans="1:27" x14ac:dyDescent="0.2">
      <c r="A34" t="s">
        <v>39</v>
      </c>
      <c r="B34">
        <v>0.14845</v>
      </c>
      <c r="C34">
        <v>0.15484999999999999</v>
      </c>
      <c r="D34">
        <v>0.16170000000000001</v>
      </c>
      <c r="E34">
        <v>0.17007</v>
      </c>
      <c r="F34">
        <v>0.17871999999999999</v>
      </c>
      <c r="G34">
        <v>0.18562999999999999</v>
      </c>
      <c r="H34">
        <v>0.19144</v>
      </c>
      <c r="I34">
        <v>0.19547</v>
      </c>
      <c r="J34">
        <v>0.19828000000000001</v>
      </c>
      <c r="K34">
        <v>0.20082</v>
      </c>
      <c r="L34">
        <v>0.20315</v>
      </c>
      <c r="M34">
        <v>0.20521</v>
      </c>
      <c r="N34">
        <v>0.20705000000000001</v>
      </c>
      <c r="O34">
        <v>0.20868999999999999</v>
      </c>
      <c r="P34">
        <v>0.21017</v>
      </c>
      <c r="Q34">
        <v>0.21151</v>
      </c>
      <c r="R34">
        <v>0.21273</v>
      </c>
      <c r="S34">
        <v>0.21385999999999999</v>
      </c>
      <c r="T34">
        <v>0.21401000000000001</v>
      </c>
      <c r="U34">
        <v>0.21260000000000001</v>
      </c>
      <c r="V34">
        <v>0.19463</v>
      </c>
      <c r="W34">
        <v>0.17063</v>
      </c>
      <c r="X34">
        <v>0.14488999999999999</v>
      </c>
      <c r="Y34">
        <v>0.14332</v>
      </c>
      <c r="Z34">
        <v>0.14385999999999999</v>
      </c>
      <c r="AA34">
        <v>0.13744999999999999</v>
      </c>
    </row>
    <row r="35" spans="1:27" x14ac:dyDescent="0.2">
      <c r="A35" t="s">
        <v>40</v>
      </c>
      <c r="B35">
        <v>0.20380000000000001</v>
      </c>
      <c r="C35">
        <v>0.20638000000000001</v>
      </c>
      <c r="D35">
        <v>0.21561</v>
      </c>
      <c r="E35">
        <v>0.22953000000000001</v>
      </c>
      <c r="F35">
        <v>0.2452</v>
      </c>
      <c r="G35">
        <v>0.25362000000000001</v>
      </c>
      <c r="H35">
        <v>0.26172000000000001</v>
      </c>
      <c r="I35">
        <v>0.27124999999999999</v>
      </c>
      <c r="J35">
        <v>0.27754000000000001</v>
      </c>
      <c r="K35">
        <v>0.27993000000000001</v>
      </c>
      <c r="L35">
        <v>0.28100999999999998</v>
      </c>
      <c r="M35">
        <v>0.28158</v>
      </c>
      <c r="N35">
        <v>0.28186</v>
      </c>
      <c r="O35">
        <v>0.28193000000000001</v>
      </c>
      <c r="P35">
        <v>0.28177999999999997</v>
      </c>
      <c r="Q35">
        <v>0.28144000000000002</v>
      </c>
      <c r="R35">
        <v>0.28094999999999998</v>
      </c>
      <c r="S35">
        <v>0.28017999999999998</v>
      </c>
      <c r="T35">
        <v>0.28101999999999999</v>
      </c>
      <c r="U35">
        <v>0.28444000000000003</v>
      </c>
      <c r="V35">
        <v>0.32668000000000003</v>
      </c>
      <c r="W35">
        <v>0.38305</v>
      </c>
      <c r="X35">
        <v>0.44284000000000001</v>
      </c>
      <c r="Y35">
        <v>0.41387000000000002</v>
      </c>
      <c r="Z35">
        <v>0.38103999999999999</v>
      </c>
      <c r="AA35">
        <v>0.38455</v>
      </c>
    </row>
    <row r="36" spans="1:27" x14ac:dyDescent="0.2">
      <c r="A36" t="s">
        <v>41</v>
      </c>
      <c r="B36">
        <v>0.15809000000000001</v>
      </c>
      <c r="C36">
        <v>0.15952</v>
      </c>
      <c r="D36">
        <v>0.16508999999999999</v>
      </c>
      <c r="E36">
        <v>0.17446999999999999</v>
      </c>
      <c r="F36">
        <v>0.18645</v>
      </c>
      <c r="G36">
        <v>0.19262000000000001</v>
      </c>
      <c r="H36">
        <v>0.19849</v>
      </c>
      <c r="I36">
        <v>0.20515</v>
      </c>
      <c r="J36">
        <v>0.20946999999999999</v>
      </c>
      <c r="K36">
        <v>0.21107000000000001</v>
      </c>
      <c r="L36">
        <v>0.21198</v>
      </c>
      <c r="M36">
        <v>0.21256</v>
      </c>
      <c r="N36">
        <v>0.21312</v>
      </c>
      <c r="O36">
        <v>0.21354999999999999</v>
      </c>
      <c r="P36">
        <v>0.21379000000000001</v>
      </c>
      <c r="Q36">
        <v>0.21373</v>
      </c>
      <c r="R36">
        <v>0.21353</v>
      </c>
      <c r="S36">
        <v>0.21307999999999999</v>
      </c>
      <c r="T36">
        <v>0.21342</v>
      </c>
      <c r="U36">
        <v>0.21512999999999999</v>
      </c>
      <c r="V36">
        <v>0.21615000000000001</v>
      </c>
      <c r="W36">
        <v>0.21720999999999999</v>
      </c>
      <c r="X36">
        <v>0.21937000000000001</v>
      </c>
      <c r="Y36">
        <v>0.25268000000000002</v>
      </c>
      <c r="Z36">
        <v>0.28415000000000001</v>
      </c>
      <c r="AA36">
        <v>0.29527999999999999</v>
      </c>
    </row>
  </sheetData>
  <mergeCells count="1">
    <mergeCell ref="A23:C27"/>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4"/>
  <sheetViews>
    <sheetView workbookViewId="0">
      <selection activeCell="A41" sqref="A41"/>
    </sheetView>
  </sheetViews>
  <sheetFormatPr baseColWidth="10" defaultColWidth="8.83203125" defaultRowHeight="15" x14ac:dyDescent="0.2"/>
  <cols>
    <col min="1" max="1" width="57" bestFit="1" customWidth="1"/>
    <col min="2" max="2" width="10.1640625" bestFit="1" customWidth="1"/>
    <col min="3" max="27" width="10" bestFit="1" customWidth="1"/>
    <col min="28" max="28" width="10.1640625" bestFit="1" customWidth="1"/>
    <col min="29" max="38" width="10" bestFit="1" customWidth="1"/>
    <col min="39" max="42" width="11" bestFit="1" customWidth="1"/>
  </cols>
  <sheetData>
    <row r="2" spans="1:42" x14ac:dyDescent="0.2">
      <c r="B2" s="10">
        <v>1990</v>
      </c>
      <c r="C2" s="10">
        <v>1991</v>
      </c>
      <c r="D2" s="10">
        <v>1992</v>
      </c>
      <c r="E2" s="10">
        <v>1993</v>
      </c>
      <c r="F2" s="10">
        <v>1994</v>
      </c>
      <c r="G2" s="10">
        <v>1995</v>
      </c>
      <c r="H2" s="10">
        <v>1996</v>
      </c>
      <c r="I2" s="10">
        <v>1997</v>
      </c>
      <c r="J2" s="10">
        <v>1998</v>
      </c>
      <c r="K2" s="10">
        <v>1999</v>
      </c>
      <c r="L2" s="10">
        <v>2000</v>
      </c>
      <c r="M2" s="10">
        <v>2001</v>
      </c>
      <c r="N2" s="10">
        <v>2002</v>
      </c>
      <c r="O2" s="10">
        <v>2003</v>
      </c>
      <c r="P2" s="10">
        <v>2004</v>
      </c>
      <c r="Q2" s="10">
        <v>2005</v>
      </c>
      <c r="R2" s="10">
        <v>2006</v>
      </c>
      <c r="S2" s="10">
        <v>2007</v>
      </c>
      <c r="T2" s="10">
        <v>2008</v>
      </c>
      <c r="U2" s="10">
        <v>2009</v>
      </c>
      <c r="V2" s="10">
        <v>2010</v>
      </c>
      <c r="W2" s="10">
        <v>2011</v>
      </c>
      <c r="X2" s="10">
        <v>2012</v>
      </c>
      <c r="Y2" s="10">
        <v>2013</v>
      </c>
      <c r="Z2" s="10">
        <v>2014</v>
      </c>
      <c r="AA2" s="10">
        <v>2015</v>
      </c>
      <c r="AB2" s="10">
        <v>2016</v>
      </c>
      <c r="AC2" s="10">
        <v>2017</v>
      </c>
      <c r="AD2" s="10">
        <v>2018</v>
      </c>
      <c r="AE2" s="10">
        <v>2019</v>
      </c>
      <c r="AF2" s="10">
        <v>2020</v>
      </c>
      <c r="AG2" s="10">
        <v>2021</v>
      </c>
      <c r="AH2" s="10">
        <v>2022</v>
      </c>
      <c r="AI2" s="10">
        <v>2023</v>
      </c>
      <c r="AJ2" s="10">
        <v>2024</v>
      </c>
      <c r="AK2" s="10">
        <v>2025</v>
      </c>
      <c r="AL2" s="10">
        <v>2026</v>
      </c>
      <c r="AM2" s="10">
        <v>2027</v>
      </c>
      <c r="AN2" s="10">
        <v>2028</v>
      </c>
      <c r="AO2" s="10">
        <v>2029</v>
      </c>
      <c r="AP2" s="10">
        <v>2030</v>
      </c>
    </row>
    <row r="3" spans="1:42" x14ac:dyDescent="0.2">
      <c r="A3" s="3" t="s">
        <v>95</v>
      </c>
      <c r="B3">
        <v>112.92</v>
      </c>
      <c r="C3" s="27">
        <f>B3+($E3-$B3)/3</f>
        <v>127.56666666666668</v>
      </c>
      <c r="D3" s="27">
        <f>C3+($E3-$B3)/3</f>
        <v>142.21333333333334</v>
      </c>
      <c r="E3">
        <v>156.86000000000001</v>
      </c>
      <c r="F3">
        <v>161.27000000000001</v>
      </c>
      <c r="G3" s="27">
        <f>F3+($R3-$F3)/12</f>
        <v>173.03916666666669</v>
      </c>
      <c r="H3" s="27">
        <f t="shared" ref="H3:Q3" si="0">G3+($R3-$F3)/12</f>
        <v>184.80833333333337</v>
      </c>
      <c r="I3" s="27">
        <f t="shared" si="0"/>
        <v>196.57750000000004</v>
      </c>
      <c r="J3" s="27">
        <f t="shared" si="0"/>
        <v>208.34666666666672</v>
      </c>
      <c r="K3" s="27">
        <f t="shared" si="0"/>
        <v>220.1158333333334</v>
      </c>
      <c r="L3" s="27">
        <f t="shared" si="0"/>
        <v>231.88500000000008</v>
      </c>
      <c r="M3" s="27">
        <f t="shared" si="0"/>
        <v>243.65416666666675</v>
      </c>
      <c r="N3" s="27">
        <f t="shared" si="0"/>
        <v>255.42333333333343</v>
      </c>
      <c r="O3" s="27">
        <f t="shared" si="0"/>
        <v>267.19250000000011</v>
      </c>
      <c r="P3" s="27">
        <f t="shared" si="0"/>
        <v>278.96166666666676</v>
      </c>
      <c r="Q3" s="27">
        <f t="shared" si="0"/>
        <v>290.73083333333341</v>
      </c>
      <c r="R3">
        <v>302.5</v>
      </c>
      <c r="S3">
        <v>329.6</v>
      </c>
      <c r="T3">
        <v>355.4</v>
      </c>
      <c r="U3">
        <v>367.3</v>
      </c>
      <c r="V3">
        <v>386.6</v>
      </c>
      <c r="W3">
        <v>417.6</v>
      </c>
      <c r="X3" s="27">
        <f>TREND(U3:W3,U2:W2,X2,TRUE)</f>
        <v>440.79999999999563</v>
      </c>
      <c r="Y3" s="27">
        <f t="shared" ref="Y3:AA3" si="1">TREND(V3:X3,V2:X2,Y2,TRUE)</f>
        <v>469.19999999999709</v>
      </c>
      <c r="Z3" s="27">
        <f t="shared" si="1"/>
        <v>494.13333333332412</v>
      </c>
      <c r="AA3" s="27">
        <f t="shared" si="1"/>
        <v>521.377777777765</v>
      </c>
    </row>
    <row r="4" spans="1:42" x14ac:dyDescent="0.2">
      <c r="A4" s="3" t="s">
        <v>96</v>
      </c>
      <c r="B4" s="19">
        <f>B3*1000000</f>
        <v>112920000</v>
      </c>
      <c r="C4" s="32">
        <f t="shared" ref="C4:AA4" si="2">C3*1000000</f>
        <v>127566666.66666667</v>
      </c>
      <c r="D4" s="32">
        <f t="shared" si="2"/>
        <v>142213333.33333334</v>
      </c>
      <c r="E4" s="19">
        <f t="shared" si="2"/>
        <v>156860000</v>
      </c>
      <c r="F4" s="19">
        <f t="shared" si="2"/>
        <v>161270000</v>
      </c>
      <c r="G4" s="32">
        <f t="shared" si="2"/>
        <v>173039166.66666669</v>
      </c>
      <c r="H4" s="32">
        <f t="shared" si="2"/>
        <v>184808333.33333337</v>
      </c>
      <c r="I4" s="32">
        <f t="shared" si="2"/>
        <v>196577500.00000003</v>
      </c>
      <c r="J4" s="32">
        <f t="shared" si="2"/>
        <v>208346666.66666672</v>
      </c>
      <c r="K4" s="32">
        <f t="shared" si="2"/>
        <v>220115833.3333334</v>
      </c>
      <c r="L4" s="32">
        <f t="shared" si="2"/>
        <v>231885000.00000009</v>
      </c>
      <c r="M4" s="32">
        <f t="shared" si="2"/>
        <v>243654166.66666675</v>
      </c>
      <c r="N4" s="32">
        <f t="shared" si="2"/>
        <v>255423333.33333343</v>
      </c>
      <c r="O4" s="32">
        <f t="shared" si="2"/>
        <v>267192500.00000012</v>
      </c>
      <c r="P4" s="32">
        <f t="shared" si="2"/>
        <v>278961666.66666675</v>
      </c>
      <c r="Q4" s="32">
        <f t="shared" si="2"/>
        <v>290730833.33333343</v>
      </c>
      <c r="R4" s="19">
        <f t="shared" si="2"/>
        <v>302500000</v>
      </c>
      <c r="S4" s="19">
        <f t="shared" si="2"/>
        <v>329600000</v>
      </c>
      <c r="T4" s="19">
        <f t="shared" si="2"/>
        <v>355400000</v>
      </c>
      <c r="U4" s="19">
        <f t="shared" si="2"/>
        <v>367300000</v>
      </c>
      <c r="V4" s="19">
        <f t="shared" si="2"/>
        <v>386600000</v>
      </c>
      <c r="W4" s="19">
        <f t="shared" si="2"/>
        <v>417600000</v>
      </c>
      <c r="X4" s="32">
        <f t="shared" si="2"/>
        <v>440799999.99999565</v>
      </c>
      <c r="Y4" s="32">
        <f t="shared" si="2"/>
        <v>469199999.99999708</v>
      </c>
      <c r="Z4" s="32">
        <f t="shared" si="2"/>
        <v>494133333.33332413</v>
      </c>
      <c r="AA4" s="32">
        <f t="shared" si="2"/>
        <v>521377777.77776498</v>
      </c>
      <c r="AB4" s="32">
        <f>GROWTH(B4:AA4,B2:AA2,AB2)</f>
        <v>555125071.83514416</v>
      </c>
      <c r="AC4" s="32">
        <f t="shared" ref="AC4:AP4" si="3">GROWTH(C4:AB4,C2:AB2,AC2)</f>
        <v>581457676.95607865</v>
      </c>
      <c r="AD4" s="32">
        <f t="shared" si="3"/>
        <v>610830827.8849231</v>
      </c>
      <c r="AE4" s="32">
        <f t="shared" si="3"/>
        <v>643579504.22405446</v>
      </c>
      <c r="AF4" s="32">
        <f t="shared" si="3"/>
        <v>680139066.63007832</v>
      </c>
      <c r="AG4" s="32">
        <f t="shared" si="3"/>
        <v>717237476.21373701</v>
      </c>
      <c r="AH4" s="32">
        <f t="shared" si="3"/>
        <v>757081451.57116783</v>
      </c>
      <c r="AI4" s="32">
        <f t="shared" si="3"/>
        <v>799827530.18491364</v>
      </c>
      <c r="AJ4" s="32">
        <f t="shared" si="3"/>
        <v>845622946.09097683</v>
      </c>
      <c r="AK4" s="32">
        <f t="shared" si="3"/>
        <v>894596194.0849092</v>
      </c>
      <c r="AL4" s="32">
        <f t="shared" si="3"/>
        <v>946845336.2607578</v>
      </c>
      <c r="AM4" s="32">
        <f t="shared" si="3"/>
        <v>1002423550.4232047</v>
      </c>
      <c r="AN4" s="32">
        <f t="shared" si="3"/>
        <v>1061321443.9799963</v>
      </c>
      <c r="AO4" s="32">
        <f t="shared" si="3"/>
        <v>1123445720.08831</v>
      </c>
      <c r="AP4" s="32">
        <f t="shared" si="3"/>
        <v>1188593912.1911621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
  <sheetViews>
    <sheetView topLeftCell="H1" workbookViewId="0">
      <selection activeCell="AC2" sqref="AC2"/>
    </sheetView>
  </sheetViews>
  <sheetFormatPr baseColWidth="10" defaultColWidth="8.83203125" defaultRowHeight="15" x14ac:dyDescent="0.2"/>
  <cols>
    <col min="1" max="1" width="29.6640625" bestFit="1" customWidth="1"/>
    <col min="25" max="25" width="13.5" customWidth="1"/>
  </cols>
  <sheetData>
    <row r="1" spans="1:42" x14ac:dyDescent="0.2">
      <c r="A1" s="36" t="s">
        <v>10</v>
      </c>
      <c r="B1" s="38" t="s">
        <v>97</v>
      </c>
      <c r="C1" s="38" t="s">
        <v>98</v>
      </c>
      <c r="D1" s="38" t="s">
        <v>99</v>
      </c>
      <c r="E1" s="38" t="s">
        <v>100</v>
      </c>
      <c r="F1" s="38" t="s">
        <v>101</v>
      </c>
      <c r="G1" s="38" t="s">
        <v>102</v>
      </c>
      <c r="H1" s="38" t="s">
        <v>103</v>
      </c>
      <c r="I1" s="38" t="s">
        <v>104</v>
      </c>
      <c r="J1" s="38" t="s">
        <v>105</v>
      </c>
      <c r="K1" s="38" t="s">
        <v>106</v>
      </c>
      <c r="L1" s="38" t="s">
        <v>107</v>
      </c>
      <c r="M1" s="38" t="s">
        <v>108</v>
      </c>
      <c r="N1" s="39" t="s">
        <v>109</v>
      </c>
      <c r="O1" s="38" t="s">
        <v>110</v>
      </c>
      <c r="P1" s="38" t="s">
        <v>111</v>
      </c>
      <c r="Q1" s="38" t="s">
        <v>112</v>
      </c>
      <c r="R1" s="38" t="s">
        <v>113</v>
      </c>
      <c r="S1" s="38" t="s">
        <v>114</v>
      </c>
      <c r="T1" s="38" t="s">
        <v>115</v>
      </c>
      <c r="U1" s="38" t="s">
        <v>116</v>
      </c>
      <c r="V1" s="38">
        <v>2010</v>
      </c>
      <c r="W1" s="38">
        <v>2011</v>
      </c>
      <c r="X1" s="38">
        <v>2012</v>
      </c>
      <c r="Y1" s="38">
        <v>2013</v>
      </c>
      <c r="Z1" s="38">
        <v>2014</v>
      </c>
      <c r="AA1" s="22">
        <v>2015</v>
      </c>
      <c r="AB1" s="22">
        <v>2016</v>
      </c>
      <c r="AC1" s="22">
        <v>2017</v>
      </c>
      <c r="AD1" s="22">
        <v>2018</v>
      </c>
      <c r="AE1" s="22">
        <v>2019</v>
      </c>
      <c r="AF1" s="22">
        <v>2020</v>
      </c>
      <c r="AG1" s="22">
        <v>2021</v>
      </c>
      <c r="AH1" s="22">
        <v>2022</v>
      </c>
      <c r="AI1" s="22">
        <v>2023</v>
      </c>
      <c r="AJ1" s="22">
        <v>2024</v>
      </c>
      <c r="AK1" s="22">
        <v>2025</v>
      </c>
      <c r="AL1" s="22">
        <v>2026</v>
      </c>
      <c r="AM1" s="22">
        <v>2027</v>
      </c>
      <c r="AN1" s="22">
        <v>2028</v>
      </c>
      <c r="AO1" s="22">
        <v>2029</v>
      </c>
      <c r="AP1" s="22">
        <v>2030</v>
      </c>
    </row>
    <row r="2" spans="1:42" ht="33.75" customHeight="1" x14ac:dyDescent="0.2">
      <c r="A2" s="37" t="s">
        <v>117</v>
      </c>
      <c r="B2" s="60">
        <v>0.08</v>
      </c>
      <c r="C2" s="60">
        <v>0.08</v>
      </c>
      <c r="D2" s="60">
        <v>0.11</v>
      </c>
      <c r="E2" s="60">
        <v>0.11</v>
      </c>
      <c r="F2" s="60">
        <v>0.12</v>
      </c>
      <c r="G2" s="60">
        <v>0.13</v>
      </c>
      <c r="H2" s="60">
        <v>0.14000000000000001</v>
      </c>
      <c r="I2" s="60">
        <v>0.14000000000000001</v>
      </c>
      <c r="J2" s="60">
        <v>0.17</v>
      </c>
      <c r="K2" s="60">
        <v>0.19</v>
      </c>
      <c r="L2" s="60">
        <v>0.2</v>
      </c>
      <c r="M2" s="60">
        <v>0.19</v>
      </c>
      <c r="N2" s="61">
        <v>0.2</v>
      </c>
      <c r="O2" s="60">
        <v>0.19</v>
      </c>
      <c r="P2" s="60">
        <v>0.21</v>
      </c>
      <c r="Q2" s="60">
        <v>0.21</v>
      </c>
      <c r="R2" s="60">
        <v>0.22</v>
      </c>
      <c r="S2" s="60">
        <v>0.24</v>
      </c>
      <c r="T2" s="60">
        <v>0.25</v>
      </c>
      <c r="U2" s="60">
        <v>0.26</v>
      </c>
      <c r="V2" s="60">
        <v>0.27</v>
      </c>
      <c r="W2" s="60">
        <v>0.28000000000000003</v>
      </c>
      <c r="X2" s="60">
        <v>0.31</v>
      </c>
      <c r="Y2" s="62">
        <f>TREND(V2:X2,V1:X1,Y1,TRUE)</f>
        <v>0.32666666666666799</v>
      </c>
      <c r="Z2" s="62">
        <f>TREND(W2:Y2,W1:Y1,Z1,TRUE)</f>
        <v>0.35222222222222399</v>
      </c>
      <c r="AA2" s="62">
        <f>TREND(X2:Z2,X1:Z1,AA1,TRUE)</f>
        <v>0.37185185185185787</v>
      </c>
      <c r="AB2" s="63">
        <v>0.39039999999999997</v>
      </c>
      <c r="AC2" s="63">
        <v>0.39789999999999998</v>
      </c>
      <c r="AD2" s="63">
        <v>0.41639999999999999</v>
      </c>
      <c r="AE2" s="63">
        <v>0.44040000000000001</v>
      </c>
      <c r="AF2" s="63">
        <v>0.46639999999999998</v>
      </c>
      <c r="AG2" s="63">
        <v>0.49030000000000001</v>
      </c>
      <c r="AH2" s="63">
        <v>0.50939999999999996</v>
      </c>
      <c r="AI2" s="63">
        <v>0.52229999999999999</v>
      </c>
      <c r="AJ2" s="63">
        <v>0.53129999999999999</v>
      </c>
      <c r="AK2" s="63">
        <v>0.53920000000000001</v>
      </c>
      <c r="AL2" s="63">
        <v>0.55069999999999997</v>
      </c>
      <c r="AM2" s="63">
        <v>0.56459999999999999</v>
      </c>
      <c r="AN2" s="63">
        <v>0.57820000000000005</v>
      </c>
      <c r="AO2" s="63">
        <v>0.58630000000000004</v>
      </c>
      <c r="AP2" s="63">
        <v>0.59499999999999997</v>
      </c>
    </row>
    <row r="3" spans="1:42" ht="57.75" customHeight="1" x14ac:dyDescent="0.2">
      <c r="A3" s="75" t="s">
        <v>118</v>
      </c>
      <c r="B3" s="75"/>
      <c r="C3" s="75"/>
      <c r="D3" s="75"/>
      <c r="E3" s="75"/>
      <c r="F3" s="75"/>
      <c r="G3" s="75"/>
      <c r="H3" s="75"/>
      <c r="I3" s="75"/>
      <c r="J3" s="75"/>
      <c r="K3" s="75"/>
      <c r="L3" s="75"/>
      <c r="M3" s="75"/>
      <c r="N3" s="75"/>
    </row>
    <row r="4" spans="1:42" ht="67.5" customHeight="1" x14ac:dyDescent="0.2">
      <c r="A4" t="s">
        <v>187</v>
      </c>
    </row>
    <row r="5" spans="1:42" x14ac:dyDescent="0.2">
      <c r="A5" s="23" t="s">
        <v>146</v>
      </c>
      <c r="B5" s="33">
        <f>1-B2</f>
        <v>0.92</v>
      </c>
      <c r="C5" s="33">
        <f t="shared" ref="C5:AP5" si="0">1-C2</f>
        <v>0.92</v>
      </c>
      <c r="D5" s="33">
        <f t="shared" si="0"/>
        <v>0.89</v>
      </c>
      <c r="E5" s="33">
        <f t="shared" si="0"/>
        <v>0.89</v>
      </c>
      <c r="F5" s="33">
        <f t="shared" si="0"/>
        <v>0.88</v>
      </c>
      <c r="G5" s="33">
        <f t="shared" si="0"/>
        <v>0.87</v>
      </c>
      <c r="H5" s="33">
        <f t="shared" si="0"/>
        <v>0.86</v>
      </c>
      <c r="I5" s="33">
        <f t="shared" si="0"/>
        <v>0.86</v>
      </c>
      <c r="J5" s="33">
        <f t="shared" si="0"/>
        <v>0.83</v>
      </c>
      <c r="K5" s="33">
        <f t="shared" si="0"/>
        <v>0.81</v>
      </c>
      <c r="L5" s="33">
        <f t="shared" si="0"/>
        <v>0.8</v>
      </c>
      <c r="M5" s="33">
        <f t="shared" si="0"/>
        <v>0.81</v>
      </c>
      <c r="N5" s="33">
        <f t="shared" si="0"/>
        <v>0.8</v>
      </c>
      <c r="O5" s="33">
        <f t="shared" si="0"/>
        <v>0.81</v>
      </c>
      <c r="P5" s="33">
        <f t="shared" si="0"/>
        <v>0.79</v>
      </c>
      <c r="Q5" s="33">
        <f t="shared" si="0"/>
        <v>0.79</v>
      </c>
      <c r="R5" s="33">
        <f t="shared" si="0"/>
        <v>0.78</v>
      </c>
      <c r="S5" s="33">
        <f t="shared" si="0"/>
        <v>0.76</v>
      </c>
      <c r="T5" s="33">
        <f t="shared" si="0"/>
        <v>0.75</v>
      </c>
      <c r="U5" s="33">
        <f t="shared" si="0"/>
        <v>0.74</v>
      </c>
      <c r="V5" s="33">
        <f t="shared" si="0"/>
        <v>0.73</v>
      </c>
      <c r="W5" s="33">
        <f t="shared" si="0"/>
        <v>0.72</v>
      </c>
      <c r="X5" s="33">
        <f t="shared" si="0"/>
        <v>0.69</v>
      </c>
      <c r="Y5" s="33">
        <f t="shared" si="0"/>
        <v>0.67333333333333201</v>
      </c>
      <c r="Z5" s="33">
        <f t="shared" si="0"/>
        <v>0.64777777777777601</v>
      </c>
      <c r="AA5" s="33">
        <f t="shared" si="0"/>
        <v>0.62814814814814213</v>
      </c>
      <c r="AB5" s="33">
        <f t="shared" si="0"/>
        <v>0.60960000000000003</v>
      </c>
      <c r="AC5" s="33">
        <f t="shared" si="0"/>
        <v>0.60210000000000008</v>
      </c>
      <c r="AD5" s="33">
        <f t="shared" si="0"/>
        <v>0.58360000000000001</v>
      </c>
      <c r="AE5" s="33">
        <f t="shared" si="0"/>
        <v>0.55959999999999999</v>
      </c>
      <c r="AF5" s="33">
        <f t="shared" si="0"/>
        <v>0.53360000000000007</v>
      </c>
      <c r="AG5" s="33">
        <f t="shared" si="0"/>
        <v>0.50970000000000004</v>
      </c>
      <c r="AH5" s="33">
        <f t="shared" si="0"/>
        <v>0.49060000000000004</v>
      </c>
      <c r="AI5" s="33">
        <f t="shared" si="0"/>
        <v>0.47770000000000001</v>
      </c>
      <c r="AJ5" s="33">
        <f t="shared" si="0"/>
        <v>0.46870000000000001</v>
      </c>
      <c r="AK5" s="33">
        <f t="shared" si="0"/>
        <v>0.46079999999999999</v>
      </c>
      <c r="AL5" s="33">
        <f t="shared" si="0"/>
        <v>0.44930000000000003</v>
      </c>
      <c r="AM5" s="33">
        <f t="shared" si="0"/>
        <v>0.43540000000000001</v>
      </c>
      <c r="AN5" s="33">
        <f t="shared" si="0"/>
        <v>0.42179999999999995</v>
      </c>
      <c r="AO5" s="33">
        <f t="shared" si="0"/>
        <v>0.41369999999999996</v>
      </c>
      <c r="AP5" s="33">
        <f t="shared" si="0"/>
        <v>0.40500000000000003</v>
      </c>
    </row>
    <row r="10" spans="1:42" x14ac:dyDescent="0.2">
      <c r="B10" s="38" t="s">
        <v>97</v>
      </c>
      <c r="C10" s="38" t="s">
        <v>98</v>
      </c>
      <c r="D10" s="38" t="s">
        <v>99</v>
      </c>
      <c r="E10" s="38" t="s">
        <v>100</v>
      </c>
      <c r="F10" s="38" t="s">
        <v>101</v>
      </c>
      <c r="G10" s="38" t="s">
        <v>102</v>
      </c>
      <c r="H10" s="38" t="s">
        <v>103</v>
      </c>
      <c r="I10" s="38" t="s">
        <v>104</v>
      </c>
      <c r="J10" s="38" t="s">
        <v>105</v>
      </c>
      <c r="K10" s="38" t="s">
        <v>106</v>
      </c>
      <c r="L10" s="38" t="s">
        <v>107</v>
      </c>
      <c r="M10" s="38" t="s">
        <v>108</v>
      </c>
      <c r="N10" s="39" t="s">
        <v>109</v>
      </c>
      <c r="O10" s="38" t="s">
        <v>110</v>
      </c>
      <c r="P10" s="38" t="s">
        <v>111</v>
      </c>
      <c r="Q10" s="38" t="s">
        <v>112</v>
      </c>
      <c r="R10" s="38" t="s">
        <v>113</v>
      </c>
      <c r="S10" s="38" t="s">
        <v>114</v>
      </c>
      <c r="T10" s="38" t="s">
        <v>115</v>
      </c>
      <c r="U10" s="38" t="s">
        <v>116</v>
      </c>
      <c r="V10" s="38">
        <v>2010</v>
      </c>
      <c r="W10" s="38">
        <v>2011</v>
      </c>
      <c r="X10" s="38">
        <v>2012</v>
      </c>
      <c r="Y10" s="38">
        <v>2013</v>
      </c>
      <c r="Z10" s="38">
        <v>2014</v>
      </c>
      <c r="AA10" s="22">
        <v>2015</v>
      </c>
    </row>
    <row r="11" spans="1:42" x14ac:dyDescent="0.2">
      <c r="A11" t="s">
        <v>119</v>
      </c>
      <c r="U11">
        <v>23.2</v>
      </c>
      <c r="V11">
        <v>30.8</v>
      </c>
      <c r="W11">
        <v>45.2</v>
      </c>
      <c r="X11">
        <v>63.2</v>
      </c>
      <c r="Y11" s="27">
        <f>TREND(V11:X11,V10:X10,Y10,TRUE)</f>
        <v>78.80000000000291</v>
      </c>
      <c r="Z11" s="27">
        <f t="shared" ref="Z11:AA11" si="1">TREND(W11:Y11,W10:Y10,Z10,TRUE)</f>
        <v>96.000000000007276</v>
      </c>
      <c r="AA11" s="27">
        <f t="shared" si="1"/>
        <v>112.13333333333867</v>
      </c>
    </row>
    <row r="12" spans="1:42" x14ac:dyDescent="0.2">
      <c r="A12" t="s">
        <v>120</v>
      </c>
      <c r="U12">
        <v>63</v>
      </c>
      <c r="V12">
        <v>70</v>
      </c>
      <c r="W12">
        <v>79</v>
      </c>
    </row>
    <row r="13" spans="1:42" x14ac:dyDescent="0.2">
      <c r="A13" t="s">
        <v>121</v>
      </c>
      <c r="U13">
        <f>U11/U12</f>
        <v>0.36825396825396822</v>
      </c>
      <c r="V13">
        <f t="shared" ref="V13:W13" si="2">V11/V12</f>
        <v>0.44</v>
      </c>
      <c r="W13">
        <f t="shared" si="2"/>
        <v>0.57215189873417727</v>
      </c>
    </row>
    <row r="14" spans="1:42" x14ac:dyDescent="0.2">
      <c r="A14" t="s">
        <v>122</v>
      </c>
      <c r="X14">
        <v>43</v>
      </c>
    </row>
    <row r="17" spans="1:1" x14ac:dyDescent="0.2">
      <c r="A17" t="s">
        <v>123</v>
      </c>
    </row>
  </sheetData>
  <mergeCells count="1">
    <mergeCell ref="A3:N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3"/>
  <sheetViews>
    <sheetView topLeftCell="C1" workbookViewId="0">
      <selection activeCell="A2" sqref="A2:AA2"/>
    </sheetView>
  </sheetViews>
  <sheetFormatPr baseColWidth="10" defaultColWidth="8.83203125" defaultRowHeight="15" x14ac:dyDescent="0.2"/>
  <cols>
    <col min="1" max="1" width="27" customWidth="1"/>
  </cols>
  <sheetData>
    <row r="2" spans="1:27" x14ac:dyDescent="0.2">
      <c r="B2" s="10">
        <v>1990</v>
      </c>
      <c r="C2" s="10">
        <v>1991</v>
      </c>
      <c r="D2" s="10">
        <v>1992</v>
      </c>
      <c r="E2" s="10">
        <v>1993</v>
      </c>
      <c r="F2" s="10">
        <v>1994</v>
      </c>
      <c r="G2" s="10">
        <v>1995</v>
      </c>
      <c r="H2" s="10">
        <v>1996</v>
      </c>
      <c r="I2" s="10">
        <v>1997</v>
      </c>
      <c r="J2" s="10">
        <v>1998</v>
      </c>
      <c r="K2" s="10">
        <v>1999</v>
      </c>
      <c r="L2" s="10">
        <v>2000</v>
      </c>
      <c r="M2" s="10">
        <v>2001</v>
      </c>
      <c r="N2" s="10">
        <v>2002</v>
      </c>
      <c r="O2" s="10">
        <v>2003</v>
      </c>
      <c r="P2" s="10">
        <v>2004</v>
      </c>
      <c r="Q2" s="10">
        <v>2005</v>
      </c>
      <c r="R2" s="10">
        <v>2006</v>
      </c>
      <c r="S2" s="10">
        <v>2007</v>
      </c>
      <c r="T2" s="10">
        <v>2008</v>
      </c>
      <c r="U2" s="10">
        <v>2009</v>
      </c>
      <c r="V2" s="10">
        <v>2010</v>
      </c>
      <c r="W2" s="10">
        <v>2011</v>
      </c>
      <c r="X2" s="10">
        <v>2012</v>
      </c>
      <c r="Y2" s="10">
        <v>2013</v>
      </c>
      <c r="Z2" s="10">
        <v>2014</v>
      </c>
      <c r="AA2" s="10">
        <v>2015</v>
      </c>
    </row>
    <row r="3" spans="1:27" x14ac:dyDescent="0.2">
      <c r="A3" t="s">
        <v>124</v>
      </c>
      <c r="B3" s="29">
        <v>0</v>
      </c>
      <c r="C3" s="29">
        <v>0</v>
      </c>
      <c r="D3" s="29">
        <v>0</v>
      </c>
      <c r="E3" s="29">
        <v>0</v>
      </c>
      <c r="F3" s="29">
        <v>0</v>
      </c>
      <c r="G3" s="29">
        <v>0</v>
      </c>
      <c r="H3" s="29">
        <v>0</v>
      </c>
      <c r="I3" s="29">
        <v>0</v>
      </c>
      <c r="J3" s="29">
        <v>0</v>
      </c>
      <c r="K3" s="29">
        <v>0</v>
      </c>
      <c r="L3" s="29">
        <v>0.2</v>
      </c>
      <c r="M3" s="29">
        <v>0.2</v>
      </c>
      <c r="N3" s="29">
        <v>0.2</v>
      </c>
      <c r="O3" s="29">
        <v>0.2</v>
      </c>
      <c r="P3" s="29">
        <v>0.2</v>
      </c>
      <c r="Q3" s="29">
        <v>0.2</v>
      </c>
      <c r="R3" s="29">
        <v>0.2</v>
      </c>
      <c r="S3" s="29">
        <v>0.2</v>
      </c>
      <c r="T3" s="29">
        <v>0.2</v>
      </c>
      <c r="U3" s="29">
        <v>0.2</v>
      </c>
      <c r="V3" s="29">
        <v>0.2</v>
      </c>
      <c r="W3" s="29">
        <v>0.2</v>
      </c>
      <c r="X3" s="29">
        <v>0.2</v>
      </c>
      <c r="Y3" s="29">
        <v>0.2</v>
      </c>
      <c r="Z3" s="29">
        <v>0.2</v>
      </c>
      <c r="AA3" s="29">
        <v>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5"/>
  <sheetViews>
    <sheetView workbookViewId="0">
      <selection activeCell="H2" sqref="H2"/>
    </sheetView>
  </sheetViews>
  <sheetFormatPr baseColWidth="10" defaultColWidth="8.83203125" defaultRowHeight="15" x14ac:dyDescent="0.2"/>
  <cols>
    <col min="1" max="1" width="46.5" customWidth="1"/>
    <col min="2" max="2" width="12" bestFit="1" customWidth="1"/>
    <col min="3" max="15" width="9.5" bestFit="1" customWidth="1"/>
    <col min="16" max="27" width="10.5" bestFit="1" customWidth="1"/>
  </cols>
  <sheetData>
    <row r="1" spans="1:43" x14ac:dyDescent="0.2">
      <c r="A1" s="3" t="s">
        <v>125</v>
      </c>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3" x14ac:dyDescent="0.2">
      <c r="A2" t="s">
        <v>148</v>
      </c>
      <c r="B2" s="32">
        <f>TREND(C2:D2,C1:D1,B1,TRUE)</f>
        <v>59882.333333333023</v>
      </c>
      <c r="C2" s="19">
        <v>63344</v>
      </c>
      <c r="D2" s="32">
        <f>C2+($F2-$C2)/3</f>
        <v>66805.666666666672</v>
      </c>
      <c r="E2" s="32">
        <f>D2+($F2-$C2)/3</f>
        <v>70267.333333333343</v>
      </c>
      <c r="F2" s="19">
        <v>73729</v>
      </c>
      <c r="G2" s="19">
        <v>77625</v>
      </c>
      <c r="H2" s="19">
        <v>79418</v>
      </c>
      <c r="I2" s="32">
        <f>H2+($M2-$H2)/5</f>
        <v>81872.399999999994</v>
      </c>
      <c r="J2" s="32">
        <f t="shared" ref="J2:L2" si="0">I2+($M2-$H2)/5</f>
        <v>84326.799999999988</v>
      </c>
      <c r="K2" s="32">
        <f t="shared" si="0"/>
        <v>86781.199999999983</v>
      </c>
      <c r="L2" s="32">
        <f t="shared" si="0"/>
        <v>89235.599999999977</v>
      </c>
      <c r="M2" s="19">
        <f>63721+27969</f>
        <v>91690</v>
      </c>
      <c r="N2" s="19">
        <f>65512+28734</f>
        <v>94246</v>
      </c>
      <c r="O2" s="19">
        <f>66582+29944</f>
        <v>96526</v>
      </c>
      <c r="P2" s="19">
        <f>67505+32854</f>
        <v>100359</v>
      </c>
      <c r="Q2" s="19">
        <f>69161+35547</f>
        <v>104708</v>
      </c>
      <c r="R2" s="19">
        <f>73235+36917</f>
        <v>110152</v>
      </c>
      <c r="S2" s="19">
        <f>73579+42037</f>
        <v>115616</v>
      </c>
      <c r="T2" s="19">
        <f>77523+45027</f>
        <v>122550</v>
      </c>
      <c r="U2" s="19">
        <f>79309+45777</f>
        <v>125086</v>
      </c>
      <c r="V2" s="19">
        <f>82905+47479</f>
        <v>130384</v>
      </c>
      <c r="W2" s="19">
        <f>87417+50759</f>
        <v>138176</v>
      </c>
      <c r="X2" s="19">
        <f>85919+59682</f>
        <v>145601</v>
      </c>
      <c r="Y2" s="19">
        <f>89125+65360</f>
        <v>154485</v>
      </c>
      <c r="Z2" s="19">
        <f>92265+68126</f>
        <v>160391</v>
      </c>
      <c r="AA2" s="19">
        <f>95079+72521</f>
        <v>167600</v>
      </c>
      <c r="AB2" s="27">
        <f>GROWTH(B2:AA2,B1:AA1,AB1,TRUE)</f>
        <v>167035.16220067471</v>
      </c>
      <c r="AC2" s="27">
        <f t="shared" ref="AC2:AP2" si="1">GROWTH(C2:AB2,C1:AB1,AC1,TRUE)</f>
        <v>173285.05367063504</v>
      </c>
      <c r="AD2" s="27">
        <f t="shared" si="1"/>
        <v>179952.95833300508</v>
      </c>
      <c r="AE2" s="27">
        <f t="shared" si="1"/>
        <v>187083.76246055641</v>
      </c>
      <c r="AF2" s="27">
        <f t="shared" si="1"/>
        <v>194727.58880011161</v>
      </c>
      <c r="AG2" s="27">
        <f t="shared" si="1"/>
        <v>202940.20833799991</v>
      </c>
      <c r="AH2" s="27">
        <f t="shared" si="1"/>
        <v>211885.8991364399</v>
      </c>
      <c r="AI2" s="27">
        <f t="shared" si="1"/>
        <v>221166.81247896689</v>
      </c>
      <c r="AJ2" s="27">
        <f t="shared" si="1"/>
        <v>230890.99108059343</v>
      </c>
      <c r="AK2" s="27">
        <f t="shared" si="1"/>
        <v>241040.65385572106</v>
      </c>
      <c r="AL2" s="27">
        <f t="shared" si="1"/>
        <v>251584.29095599442</v>
      </c>
      <c r="AM2" s="27">
        <f t="shared" si="1"/>
        <v>262473.4692008096</v>
      </c>
      <c r="AN2" s="27">
        <f t="shared" si="1"/>
        <v>273639.25347253977</v>
      </c>
      <c r="AO2" s="27">
        <f t="shared" si="1"/>
        <v>285014.79183488112</v>
      </c>
      <c r="AP2" s="27">
        <f t="shared" si="1"/>
        <v>296414.27701319876</v>
      </c>
    </row>
    <row r="3" spans="1:43" x14ac:dyDescent="0.2">
      <c r="A3" t="s">
        <v>126</v>
      </c>
      <c r="B3" s="32">
        <f>TREND(C3:D3,C1:D1,B1,TRUE)</f>
        <v>2648</v>
      </c>
      <c r="C3" s="19">
        <v>2742</v>
      </c>
      <c r="D3" s="32">
        <f>C3+($F3-$C3)/3</f>
        <v>2836</v>
      </c>
      <c r="E3" s="32">
        <f>D3+($F3-$C3)/3</f>
        <v>2930</v>
      </c>
      <c r="F3" s="19">
        <v>3024</v>
      </c>
      <c r="G3" s="19">
        <v>3546</v>
      </c>
      <c r="H3" s="19">
        <v>3876</v>
      </c>
      <c r="I3" s="32">
        <f>H3+($M3-$H3)/5</f>
        <v>5088</v>
      </c>
      <c r="J3" s="32">
        <f t="shared" ref="J3:L3" si="2">I3+($M3-$H3)/5</f>
        <v>6300</v>
      </c>
      <c r="K3" s="32">
        <f t="shared" si="2"/>
        <v>7512</v>
      </c>
      <c r="L3" s="32">
        <f t="shared" si="2"/>
        <v>8724</v>
      </c>
      <c r="M3" s="19">
        <v>9936</v>
      </c>
      <c r="N3" s="19">
        <v>10800</v>
      </c>
      <c r="O3" s="19">
        <v>11351</v>
      </c>
      <c r="P3" s="19">
        <v>12325</v>
      </c>
      <c r="Q3" s="19">
        <v>13718</v>
      </c>
      <c r="R3" s="19">
        <v>14135</v>
      </c>
      <c r="S3" s="19">
        <v>16713</v>
      </c>
      <c r="T3" s="19">
        <v>20511</v>
      </c>
      <c r="U3" s="19">
        <v>22879</v>
      </c>
      <c r="V3" s="19">
        <v>29014</v>
      </c>
      <c r="W3" s="19">
        <v>35450</v>
      </c>
      <c r="X3" s="19">
        <v>54276</v>
      </c>
      <c r="Y3" s="19">
        <v>68859</v>
      </c>
      <c r="Z3" s="19">
        <v>84838</v>
      </c>
      <c r="AA3" s="19">
        <v>104122</v>
      </c>
      <c r="AB3" s="27">
        <f>TREND(B3:AA3,B1:AA1,AB1,TRUE)</f>
        <v>59820.507692307234</v>
      </c>
      <c r="AC3" s="27">
        <f t="shared" ref="AC3:AP3" si="3">GROWTH(C3:AB3,C1:AB1,AC1,TRUE)</f>
        <v>91416.368718781931</v>
      </c>
      <c r="AD3" s="27">
        <f t="shared" si="3"/>
        <v>107917.50969847693</v>
      </c>
      <c r="AE3" s="27">
        <f t="shared" si="3"/>
        <v>126896.71145516937</v>
      </c>
      <c r="AF3" s="27">
        <f t="shared" si="3"/>
        <v>148342.32452648893</v>
      </c>
      <c r="AG3" s="27">
        <f t="shared" si="3"/>
        <v>172023.36392511916</v>
      </c>
      <c r="AH3" s="27">
        <f t="shared" si="3"/>
        <v>199598.54379317723</v>
      </c>
      <c r="AI3" s="27">
        <f t="shared" si="3"/>
        <v>230371.56620011668</v>
      </c>
      <c r="AJ3" s="27">
        <f t="shared" si="3"/>
        <v>268324.20526467601</v>
      </c>
      <c r="AK3" s="27">
        <f t="shared" si="3"/>
        <v>314622.41434055218</v>
      </c>
      <c r="AL3" s="27">
        <f t="shared" si="3"/>
        <v>370764.7183667596</v>
      </c>
      <c r="AM3" s="27">
        <f t="shared" si="3"/>
        <v>438532.36904278788</v>
      </c>
      <c r="AN3" s="27">
        <f t="shared" si="3"/>
        <v>519944.40736521967</v>
      </c>
      <c r="AO3" s="27">
        <f t="shared" si="3"/>
        <v>615498.55736679665</v>
      </c>
      <c r="AP3" s="27">
        <f t="shared" si="3"/>
        <v>724603.1805106519</v>
      </c>
    </row>
    <row r="4" spans="1:43" x14ac:dyDescent="0.2">
      <c r="A4" t="s">
        <v>128</v>
      </c>
      <c r="B4" s="33">
        <f>B3/(B3+B2)</f>
        <v>4.2347447372208899E-2</v>
      </c>
      <c r="C4" s="33">
        <f t="shared" ref="C4:AP4" si="4">C3/(C3+C2)</f>
        <v>4.149139000696063E-2</v>
      </c>
      <c r="D4" s="33">
        <f t="shared" si="4"/>
        <v>4.0722747397391408E-2</v>
      </c>
      <c r="E4" s="33">
        <f t="shared" si="4"/>
        <v>4.0028780647746724E-2</v>
      </c>
      <c r="F4" s="33">
        <f t="shared" si="4"/>
        <v>3.9399111435383632E-2</v>
      </c>
      <c r="G4" s="33">
        <f t="shared" si="4"/>
        <v>4.3685552722031271E-2</v>
      </c>
      <c r="H4" s="33">
        <f t="shared" si="4"/>
        <v>4.653396403102264E-2</v>
      </c>
      <c r="I4" s="33">
        <f t="shared" si="4"/>
        <v>5.8509390481184545E-2</v>
      </c>
      <c r="J4" s="33">
        <f t="shared" si="4"/>
        <v>6.9515860650491923E-2</v>
      </c>
      <c r="K4" s="33">
        <f t="shared" si="4"/>
        <v>7.9666402243215861E-2</v>
      </c>
      <c r="L4" s="33">
        <f t="shared" si="4"/>
        <v>8.9057121507233619E-2</v>
      </c>
      <c r="M4" s="33">
        <f t="shared" si="4"/>
        <v>9.7770255643240905E-2</v>
      </c>
      <c r="N4" s="33">
        <f t="shared" si="4"/>
        <v>0.10281210136511623</v>
      </c>
      <c r="O4" s="33">
        <f t="shared" si="4"/>
        <v>0.10522168766280116</v>
      </c>
      <c r="P4" s="33">
        <f t="shared" si="4"/>
        <v>0.10937666394519187</v>
      </c>
      <c r="Q4" s="33">
        <f t="shared" si="4"/>
        <v>0.11583604951615355</v>
      </c>
      <c r="R4" s="33">
        <f t="shared" si="4"/>
        <v>0.11372870855358967</v>
      </c>
      <c r="S4" s="33">
        <f t="shared" si="4"/>
        <v>0.12629884605793137</v>
      </c>
      <c r="T4" s="33">
        <f t="shared" si="4"/>
        <v>0.14337240757439135</v>
      </c>
      <c r="U4" s="33">
        <f t="shared" si="4"/>
        <v>0.15462440441996417</v>
      </c>
      <c r="V4" s="33">
        <f t="shared" si="4"/>
        <v>0.18202235912621237</v>
      </c>
      <c r="W4" s="33">
        <f t="shared" si="4"/>
        <v>0.20417448999573798</v>
      </c>
      <c r="X4" s="33">
        <f t="shared" si="4"/>
        <v>0.27154700140586463</v>
      </c>
      <c r="Y4" s="33">
        <f t="shared" si="4"/>
        <v>0.30830915538362347</v>
      </c>
      <c r="Z4" s="33">
        <f t="shared" si="4"/>
        <v>0.34595418975732889</v>
      </c>
      <c r="AA4" s="33">
        <f t="shared" si="4"/>
        <v>0.38319311649406379</v>
      </c>
      <c r="AB4" s="63">
        <f t="shared" si="4"/>
        <v>0.26369412640436657</v>
      </c>
      <c r="AC4" s="63">
        <f t="shared" si="4"/>
        <v>0.34535654509742014</v>
      </c>
      <c r="AD4" s="63">
        <f t="shared" si="4"/>
        <v>0.37488218376980192</v>
      </c>
      <c r="AE4" s="63">
        <f t="shared" si="4"/>
        <v>0.40415478667386556</v>
      </c>
      <c r="AF4" s="63">
        <f t="shared" si="4"/>
        <v>0.43239677617916877</v>
      </c>
      <c r="AG4" s="63">
        <f t="shared" si="4"/>
        <v>0.45877353601807247</v>
      </c>
      <c r="AH4" s="63">
        <f t="shared" si="4"/>
        <v>0.48506947765050212</v>
      </c>
      <c r="AI4" s="63">
        <f t="shared" si="4"/>
        <v>0.51019265931289948</v>
      </c>
      <c r="AJ4" s="63">
        <f t="shared" si="4"/>
        <v>0.53749206199864241</v>
      </c>
      <c r="AK4" s="63">
        <f t="shared" si="4"/>
        <v>0.56621077114561835</v>
      </c>
      <c r="AL4" s="63">
        <f t="shared" si="4"/>
        <v>0.59575047571816531</v>
      </c>
      <c r="AM4" s="63">
        <f t="shared" si="4"/>
        <v>0.6255759155181233</v>
      </c>
      <c r="AN4" s="63">
        <f t="shared" si="4"/>
        <v>0.65518537367104046</v>
      </c>
      <c r="AO4" s="63">
        <f t="shared" si="4"/>
        <v>0.68349742723130957</v>
      </c>
      <c r="AP4" s="63">
        <f t="shared" si="4"/>
        <v>0.7096873566373133</v>
      </c>
    </row>
    <row r="5" spans="1:43" x14ac:dyDescent="0.2">
      <c r="A5" t="s">
        <v>152</v>
      </c>
      <c r="B5" s="33">
        <f>B3/B2</f>
        <v>4.4220053772119995E-2</v>
      </c>
      <c r="C5" s="33">
        <f t="shared" ref="C5:AP5" si="5">C3/C2</f>
        <v>4.3287446324829504E-2</v>
      </c>
      <c r="D5" s="33">
        <f t="shared" si="5"/>
        <v>4.2451488646172729E-2</v>
      </c>
      <c r="E5" s="33">
        <f t="shared" si="5"/>
        <v>4.1697896604396538E-2</v>
      </c>
      <c r="F5" s="33">
        <f t="shared" si="5"/>
        <v>4.1015068697527433E-2</v>
      </c>
      <c r="G5" s="33">
        <f t="shared" si="5"/>
        <v>4.5681159420289857E-2</v>
      </c>
      <c r="H5" s="33">
        <f t="shared" si="5"/>
        <v>4.8805056788133676E-2</v>
      </c>
      <c r="I5" s="33">
        <f t="shared" si="5"/>
        <v>6.2145484925322826E-2</v>
      </c>
      <c r="J5" s="33">
        <f t="shared" si="5"/>
        <v>7.4709345071792138E-2</v>
      </c>
      <c r="K5" s="33">
        <f t="shared" si="5"/>
        <v>8.6562527367678735E-2</v>
      </c>
      <c r="L5" s="33">
        <f t="shared" si="5"/>
        <v>9.7763672794265996E-2</v>
      </c>
      <c r="M5" s="33">
        <f t="shared" si="5"/>
        <v>0.10836514341803904</v>
      </c>
      <c r="N5" s="33">
        <f t="shared" si="5"/>
        <v>0.11459372281051716</v>
      </c>
      <c r="O5" s="33">
        <f t="shared" si="5"/>
        <v>0.11759525930837288</v>
      </c>
      <c r="P5" s="33">
        <f t="shared" si="5"/>
        <v>0.12280911527615859</v>
      </c>
      <c r="Q5" s="33">
        <f t="shared" si="5"/>
        <v>0.13101195706154259</v>
      </c>
      <c r="R5" s="33">
        <f t="shared" si="5"/>
        <v>0.12832268138572156</v>
      </c>
      <c r="S5" s="33">
        <f t="shared" si="5"/>
        <v>0.14455611680044284</v>
      </c>
      <c r="T5" s="33">
        <f t="shared" si="5"/>
        <v>0.16736842105263158</v>
      </c>
      <c r="U5" s="33">
        <f t="shared" si="5"/>
        <v>0.18290616056153366</v>
      </c>
      <c r="V5" s="33">
        <f t="shared" si="5"/>
        <v>0.22252730396367654</v>
      </c>
      <c r="W5" s="33">
        <f t="shared" si="5"/>
        <v>0.25655685502547476</v>
      </c>
      <c r="X5" s="33">
        <f t="shared" si="5"/>
        <v>0.37277216502633909</v>
      </c>
      <c r="Y5" s="33">
        <f t="shared" si="5"/>
        <v>0.4457325953976114</v>
      </c>
      <c r="Z5" s="33">
        <f t="shared" si="5"/>
        <v>0.52894489092280739</v>
      </c>
      <c r="AA5" s="33">
        <f t="shared" si="5"/>
        <v>0.62125298329355605</v>
      </c>
      <c r="AB5" s="63">
        <f t="shared" si="5"/>
        <v>0.35813122760607347</v>
      </c>
      <c r="AC5" s="63">
        <f t="shared" si="5"/>
        <v>0.52754906890318487</v>
      </c>
      <c r="AD5" s="63">
        <f t="shared" si="5"/>
        <v>0.59969844729517763</v>
      </c>
      <c r="AE5" s="63">
        <f t="shared" si="5"/>
        <v>0.67828821585691323</v>
      </c>
      <c r="AF5" s="63">
        <f t="shared" si="5"/>
        <v>0.76179408085190603</v>
      </c>
      <c r="AG5" s="63">
        <f t="shared" si="5"/>
        <v>0.84765540221882352</v>
      </c>
      <c r="AH5" s="63">
        <f t="shared" si="5"/>
        <v>0.94200956555702442</v>
      </c>
      <c r="AI5" s="63">
        <f t="shared" si="5"/>
        <v>1.0416190549476096</v>
      </c>
      <c r="AJ5" s="63">
        <f t="shared" si="5"/>
        <v>1.1621250530776073</v>
      </c>
      <c r="AK5" s="63">
        <f t="shared" si="5"/>
        <v>1.3052670132934285</v>
      </c>
      <c r="AL5" s="63">
        <f t="shared" si="5"/>
        <v>1.4737196704845592</v>
      </c>
      <c r="AM5" s="63">
        <f t="shared" si="5"/>
        <v>1.6707683651915368</v>
      </c>
      <c r="AN5" s="63">
        <f t="shared" si="5"/>
        <v>1.9001089966699427</v>
      </c>
      <c r="AO5" s="63">
        <f t="shared" si="5"/>
        <v>2.1595319786889382</v>
      </c>
      <c r="AP5" s="63">
        <f t="shared" si="5"/>
        <v>2.4445623463622392</v>
      </c>
    </row>
    <row r="6" spans="1:43" x14ac:dyDescent="0.2">
      <c r="A6" t="s">
        <v>149</v>
      </c>
      <c r="B6" s="33"/>
      <c r="C6" s="33"/>
      <c r="D6" s="33"/>
      <c r="E6" s="33"/>
      <c r="F6" s="33"/>
      <c r="G6" s="33"/>
      <c r="H6" s="33"/>
      <c r="I6" s="33"/>
      <c r="J6" s="33"/>
      <c r="K6" s="33"/>
      <c r="L6" s="33"/>
      <c r="M6" s="33"/>
      <c r="N6" s="33"/>
      <c r="O6" s="33"/>
      <c r="P6" s="33"/>
      <c r="Q6" s="33"/>
      <c r="R6" s="33"/>
      <c r="S6" s="33"/>
      <c r="T6" s="33"/>
      <c r="U6" s="33"/>
      <c r="V6" s="33"/>
      <c r="W6" s="33"/>
      <c r="X6" s="33"/>
      <c r="Y6" s="33"/>
      <c r="Z6" s="33"/>
      <c r="AA6" s="33"/>
    </row>
    <row r="7" spans="1:43" x14ac:dyDescent="0.2">
      <c r="B7" s="41"/>
      <c r="C7" s="41"/>
      <c r="D7" s="41"/>
      <c r="E7" s="41"/>
      <c r="F7" s="41"/>
      <c r="G7" s="41"/>
      <c r="H7" s="41"/>
      <c r="I7" s="41"/>
      <c r="J7" s="41"/>
      <c r="K7" s="41"/>
      <c r="L7" s="41"/>
      <c r="M7" s="41"/>
      <c r="N7" s="41"/>
      <c r="O7" s="41"/>
      <c r="P7" s="41"/>
      <c r="Q7" s="41"/>
      <c r="R7" s="41"/>
      <c r="S7" s="41"/>
      <c r="T7" s="41"/>
      <c r="U7" s="41"/>
      <c r="V7" s="41"/>
      <c r="W7" s="41"/>
      <c r="X7" s="41"/>
      <c r="Y7" s="41"/>
      <c r="Z7" s="41"/>
      <c r="AA7" s="41"/>
      <c r="AB7" s="66"/>
      <c r="AC7" s="66"/>
      <c r="AD7" s="66"/>
      <c r="AE7" s="66"/>
      <c r="AF7" s="66"/>
      <c r="AG7" s="66"/>
      <c r="AH7" s="66"/>
      <c r="AI7" s="66"/>
      <c r="AJ7" s="66"/>
      <c r="AK7" s="66"/>
      <c r="AL7" s="66"/>
      <c r="AM7" s="66"/>
      <c r="AN7" s="66"/>
      <c r="AO7" s="66"/>
      <c r="AP7" s="66"/>
      <c r="AQ7" s="66"/>
    </row>
    <row r="8" spans="1:43" x14ac:dyDescent="0.2">
      <c r="B8" s="33"/>
      <c r="C8" s="33"/>
      <c r="D8" s="33"/>
      <c r="E8" s="33"/>
      <c r="F8" s="33"/>
      <c r="G8" s="33"/>
      <c r="H8" s="33"/>
      <c r="I8" s="33"/>
      <c r="J8" s="33"/>
      <c r="K8" s="33"/>
      <c r="L8" s="33"/>
      <c r="M8" s="33"/>
      <c r="N8" s="33"/>
      <c r="O8" s="33"/>
      <c r="P8" s="33"/>
      <c r="Q8" s="33"/>
      <c r="R8" s="33"/>
      <c r="S8" s="33"/>
      <c r="T8" s="33"/>
      <c r="U8" s="33"/>
      <c r="V8" s="33"/>
      <c r="W8" s="33"/>
      <c r="X8" s="33"/>
      <c r="Y8" s="33"/>
      <c r="Z8" s="33"/>
      <c r="AA8" s="33"/>
    </row>
    <row r="9" spans="1:43" x14ac:dyDescent="0.2">
      <c r="A9" s="74" t="s">
        <v>127</v>
      </c>
      <c r="B9" s="74"/>
      <c r="C9" s="74"/>
      <c r="D9" s="74"/>
      <c r="E9" s="74"/>
      <c r="F9" s="74"/>
      <c r="G9" s="74"/>
    </row>
    <row r="10" spans="1:43" x14ac:dyDescent="0.2">
      <c r="A10" s="74"/>
      <c r="B10" s="74"/>
      <c r="C10" s="74"/>
      <c r="D10" s="74"/>
      <c r="E10" s="74"/>
      <c r="F10" s="74"/>
      <c r="G10" s="74"/>
    </row>
    <row r="11" spans="1:43" x14ac:dyDescent="0.2">
      <c r="A11" s="74"/>
      <c r="B11" s="74"/>
      <c r="C11" s="74"/>
      <c r="D11" s="74"/>
      <c r="E11" s="74"/>
      <c r="F11" s="74"/>
      <c r="G11" s="74"/>
    </row>
    <row r="12" spans="1:43" x14ac:dyDescent="0.2">
      <c r="A12" s="74"/>
      <c r="B12" s="74"/>
      <c r="C12" s="74"/>
      <c r="D12" s="74"/>
      <c r="E12" s="74"/>
      <c r="F12" s="74"/>
      <c r="G12" s="74"/>
    </row>
    <row r="15" spans="1:43" ht="30" x14ac:dyDescent="0.2">
      <c r="A15" s="42" t="s">
        <v>188</v>
      </c>
      <c r="B15" s="27">
        <f t="shared" ref="B15:T15" si="6">GROWTH(C15:W15,C1:W1,B1,TRUE)</f>
        <v>4.6506402034200054</v>
      </c>
      <c r="C15" s="27">
        <f t="shared" si="6"/>
        <v>4.9538884455710699</v>
      </c>
      <c r="D15" s="27">
        <f t="shared" si="6"/>
        <v>5.2921920533396385</v>
      </c>
      <c r="E15" s="27">
        <f t="shared" si="6"/>
        <v>5.6514632233183244</v>
      </c>
      <c r="F15" s="27">
        <f t="shared" si="6"/>
        <v>6.0176551930332893</v>
      </c>
      <c r="G15" s="27">
        <f t="shared" si="6"/>
        <v>6.3736922986430482</v>
      </c>
      <c r="H15" s="27">
        <f t="shared" si="6"/>
        <v>6.7164448632793823</v>
      </c>
      <c r="I15" s="27">
        <f t="shared" si="6"/>
        <v>7.0688696367994215</v>
      </c>
      <c r="J15" s="27">
        <f t="shared" si="6"/>
        <v>7.4493595397542993</v>
      </c>
      <c r="K15" s="27">
        <f t="shared" si="6"/>
        <v>7.872112107142148</v>
      </c>
      <c r="L15" s="27">
        <f t="shared" si="6"/>
        <v>8.3479456273587278</v>
      </c>
      <c r="M15" s="27">
        <f t="shared" si="6"/>
        <v>8.8817181049124763</v>
      </c>
      <c r="N15" s="27">
        <f t="shared" si="6"/>
        <v>9.4732762899785161</v>
      </c>
      <c r="O15" s="27">
        <f t="shared" si="6"/>
        <v>10.117011068438368</v>
      </c>
      <c r="P15" s="27">
        <f t="shared" si="6"/>
        <v>10.803975962205589</v>
      </c>
      <c r="Q15" s="27">
        <f t="shared" si="6"/>
        <v>11.520749313496646</v>
      </c>
      <c r="R15" s="27">
        <f t="shared" si="6"/>
        <v>12.259434338730765</v>
      </c>
      <c r="S15" s="27">
        <f t="shared" si="6"/>
        <v>13.020808396583348</v>
      </c>
      <c r="T15" s="27">
        <f t="shared" si="6"/>
        <v>13.813749480222599</v>
      </c>
      <c r="U15" s="27">
        <f>GROWTH(V15:AP15,V1:AP1,U1,TRUE)</f>
        <v>14.650639602718865</v>
      </c>
      <c r="V15" s="56">
        <v>15.2</v>
      </c>
      <c r="W15" s="56">
        <v>17.46</v>
      </c>
      <c r="X15" s="56">
        <v>16.97</v>
      </c>
      <c r="Y15" s="56">
        <v>17.18</v>
      </c>
      <c r="Z15" s="56">
        <v>17.87</v>
      </c>
      <c r="AA15" s="56">
        <v>19.13</v>
      </c>
      <c r="AB15" s="56">
        <v>21.26</v>
      </c>
      <c r="AC15" s="56">
        <v>24.01</v>
      </c>
      <c r="AD15" s="56">
        <v>26.38</v>
      </c>
      <c r="AE15" s="56">
        <v>28.33</v>
      </c>
      <c r="AF15" s="56">
        <v>29.86</v>
      </c>
      <c r="AG15" s="56">
        <v>30.99</v>
      </c>
      <c r="AH15" s="56">
        <v>31.9</v>
      </c>
      <c r="AI15" s="56">
        <v>32.770000000000003</v>
      </c>
      <c r="AJ15" s="56">
        <v>33.82</v>
      </c>
      <c r="AK15" s="56">
        <v>35.21</v>
      </c>
      <c r="AL15" s="56">
        <v>37.18</v>
      </c>
      <c r="AM15" s="56">
        <v>39.64</v>
      </c>
      <c r="AN15" s="56">
        <v>42.36</v>
      </c>
      <c r="AO15" s="56">
        <v>45.06</v>
      </c>
      <c r="AP15" s="56">
        <v>47.56</v>
      </c>
    </row>
    <row r="16" spans="1:43" ht="30" x14ac:dyDescent="0.2">
      <c r="A16" s="42" t="s">
        <v>189</v>
      </c>
      <c r="B16" s="27">
        <f>B15*45000000000</f>
        <v>209278809153.90024</v>
      </c>
      <c r="C16" s="27">
        <f t="shared" ref="C16:AP16" si="7">C15*45000000000</f>
        <v>222924980050.69815</v>
      </c>
      <c r="D16" s="27">
        <f t="shared" si="7"/>
        <v>238148642400.28372</v>
      </c>
      <c r="E16" s="27">
        <f t="shared" si="7"/>
        <v>254315845049.32458</v>
      </c>
      <c r="F16" s="27">
        <f t="shared" si="7"/>
        <v>270794483686.49802</v>
      </c>
      <c r="G16" s="27">
        <f t="shared" si="7"/>
        <v>286816153438.93719</v>
      </c>
      <c r="H16" s="27">
        <f t="shared" si="7"/>
        <v>302240018847.5722</v>
      </c>
      <c r="I16" s="27">
        <f t="shared" si="7"/>
        <v>318099133655.97394</v>
      </c>
      <c r="J16" s="27">
        <f t="shared" si="7"/>
        <v>335221179288.94348</v>
      </c>
      <c r="K16" s="27">
        <f t="shared" si="7"/>
        <v>354245044821.39667</v>
      </c>
      <c r="L16" s="27">
        <f t="shared" si="7"/>
        <v>375657553231.14276</v>
      </c>
      <c r="M16" s="27">
        <f t="shared" si="7"/>
        <v>399677314721.0614</v>
      </c>
      <c r="N16" s="27">
        <f t="shared" si="7"/>
        <v>426297433049.0332</v>
      </c>
      <c r="O16" s="27">
        <f t="shared" si="7"/>
        <v>455265498079.72656</v>
      </c>
      <c r="P16" s="27">
        <f t="shared" si="7"/>
        <v>486178918299.25153</v>
      </c>
      <c r="Q16" s="27">
        <f t="shared" si="7"/>
        <v>518433719107.34906</v>
      </c>
      <c r="R16" s="27">
        <f t="shared" si="7"/>
        <v>551674545242.8844</v>
      </c>
      <c r="S16" s="27">
        <f t="shared" si="7"/>
        <v>585936377846.25061</v>
      </c>
      <c r="T16" s="27">
        <f t="shared" si="7"/>
        <v>621618726610.01697</v>
      </c>
      <c r="U16" s="27">
        <f t="shared" si="7"/>
        <v>659278782122.34888</v>
      </c>
      <c r="V16">
        <f t="shared" si="7"/>
        <v>684000000000</v>
      </c>
      <c r="W16">
        <f t="shared" si="7"/>
        <v>785700000000</v>
      </c>
      <c r="X16">
        <f t="shared" si="7"/>
        <v>763650000000</v>
      </c>
      <c r="Y16">
        <f t="shared" si="7"/>
        <v>773100000000</v>
      </c>
      <c r="Z16">
        <f t="shared" si="7"/>
        <v>804150000000</v>
      </c>
      <c r="AA16">
        <f t="shared" si="7"/>
        <v>860850000000</v>
      </c>
      <c r="AB16">
        <f t="shared" si="7"/>
        <v>956700000000.00012</v>
      </c>
      <c r="AC16">
        <f t="shared" si="7"/>
        <v>1080450000000.0001</v>
      </c>
      <c r="AD16">
        <f t="shared" si="7"/>
        <v>1187100000000</v>
      </c>
      <c r="AE16">
        <f t="shared" si="7"/>
        <v>1274850000000</v>
      </c>
      <c r="AF16">
        <f t="shared" si="7"/>
        <v>1343700000000</v>
      </c>
      <c r="AG16">
        <f t="shared" si="7"/>
        <v>1394550000000</v>
      </c>
      <c r="AH16">
        <f t="shared" si="7"/>
        <v>1435500000000</v>
      </c>
      <c r="AI16">
        <f t="shared" si="7"/>
        <v>1474650000000.0002</v>
      </c>
      <c r="AJ16">
        <f t="shared" si="7"/>
        <v>1521900000000</v>
      </c>
      <c r="AK16">
        <f t="shared" si="7"/>
        <v>1584450000000</v>
      </c>
      <c r="AL16">
        <f t="shared" si="7"/>
        <v>1673100000000</v>
      </c>
      <c r="AM16">
        <f t="shared" si="7"/>
        <v>1783800000000</v>
      </c>
      <c r="AN16">
        <f t="shared" si="7"/>
        <v>1906200000000</v>
      </c>
      <c r="AO16">
        <f t="shared" si="7"/>
        <v>2027700000000</v>
      </c>
      <c r="AP16">
        <f t="shared" si="7"/>
        <v>2140200000000</v>
      </c>
    </row>
    <row r="17" spans="1:42" ht="30" x14ac:dyDescent="0.2">
      <c r="A17" s="65" t="s">
        <v>191</v>
      </c>
    </row>
    <row r="18" spans="1:42" ht="30" x14ac:dyDescent="0.2">
      <c r="A18" s="65" t="s">
        <v>190</v>
      </c>
    </row>
    <row r="21" spans="1:42" ht="30" x14ac:dyDescent="0.2">
      <c r="A21" s="42" t="s">
        <v>192</v>
      </c>
      <c r="B21" s="27">
        <f t="shared" ref="B21:T21" si="8">GROWTH(C21:W21,C1:W1,B1,TRUE)</f>
        <v>1.3139115790290743</v>
      </c>
      <c r="C21" s="27">
        <f t="shared" si="8"/>
        <v>1.3935042765736603</v>
      </c>
      <c r="D21" s="27">
        <f t="shared" si="8"/>
        <v>1.4814543726543514</v>
      </c>
      <c r="E21" s="27">
        <f t="shared" si="8"/>
        <v>1.5734092227615002</v>
      </c>
      <c r="F21" s="27">
        <f t="shared" si="8"/>
        <v>1.6655944921562789</v>
      </c>
      <c r="G21" s="27">
        <f t="shared" si="8"/>
        <v>1.7534418820021105</v>
      </c>
      <c r="H21" s="27">
        <f t="shared" si="8"/>
        <v>1.8365702988995922</v>
      </c>
      <c r="I21" s="27">
        <f t="shared" si="8"/>
        <v>1.9215333486234154</v>
      </c>
      <c r="J21" s="27">
        <f t="shared" si="8"/>
        <v>2.0132336065594938</v>
      </c>
      <c r="K21" s="27">
        <f t="shared" si="8"/>
        <v>2.1157689194372238</v>
      </c>
      <c r="L21" s="27">
        <f t="shared" si="8"/>
        <v>2.2321226017638272</v>
      </c>
      <c r="M21" s="27">
        <f t="shared" si="8"/>
        <v>2.3637410012461868</v>
      </c>
      <c r="N21" s="27">
        <f t="shared" si="8"/>
        <v>2.5103914490477166</v>
      </c>
      <c r="O21" s="27">
        <f t="shared" si="8"/>
        <v>2.6705541928447407</v>
      </c>
      <c r="P21" s="27">
        <f t="shared" si="8"/>
        <v>2.8416915272434395</v>
      </c>
      <c r="Q21" s="27">
        <f t="shared" si="8"/>
        <v>3.0210657528520382</v>
      </c>
      <c r="R21" s="27">
        <f t="shared" si="8"/>
        <v>3.206499830178867</v>
      </c>
      <c r="S21" s="27">
        <f t="shared" si="8"/>
        <v>3.3978083736745908</v>
      </c>
      <c r="T21" s="27">
        <f t="shared" si="8"/>
        <v>3.5970711255187657</v>
      </c>
      <c r="U21" s="27">
        <f>GROWTH(V21:AP21,V1:AP1,U1,TRUE)</f>
        <v>3.8075083270651602</v>
      </c>
      <c r="V21" s="56">
        <v>3.8</v>
      </c>
      <c r="W21" s="56">
        <v>4.3550000000000004</v>
      </c>
      <c r="X21" s="56">
        <v>4.2300000000000004</v>
      </c>
      <c r="Y21" s="56">
        <v>4.2720000000000002</v>
      </c>
      <c r="Z21" s="56">
        <v>4.4450000000000003</v>
      </c>
      <c r="AA21" s="56">
        <v>4.7569999999999997</v>
      </c>
      <c r="AB21" s="56">
        <v>5.2839999999999998</v>
      </c>
      <c r="AC21" s="56">
        <v>5.9530000000000003</v>
      </c>
      <c r="AD21" s="56">
        <v>6.5179999999999998</v>
      </c>
      <c r="AE21" s="56">
        <v>6.9790000000000001</v>
      </c>
      <c r="AF21" s="56">
        <v>7.319</v>
      </c>
      <c r="AG21" s="56">
        <v>7.5460000000000003</v>
      </c>
      <c r="AH21" s="56">
        <v>7.6989999999999998</v>
      </c>
      <c r="AI21" s="56">
        <v>7.8330000000000002</v>
      </c>
      <c r="AJ21" s="56">
        <v>7.9939999999999998</v>
      </c>
      <c r="AK21" s="56">
        <v>8.2219999999999995</v>
      </c>
      <c r="AL21" s="56">
        <v>8.5340000000000007</v>
      </c>
      <c r="AM21" s="56">
        <v>8.9260000000000002</v>
      </c>
      <c r="AN21" s="56">
        <v>9.3460000000000001</v>
      </c>
      <c r="AO21" s="56">
        <v>9.7210000000000001</v>
      </c>
      <c r="AP21" s="56">
        <v>10</v>
      </c>
    </row>
    <row r="22" spans="1:42" ht="30" x14ac:dyDescent="0.2">
      <c r="A22" s="42" t="s">
        <v>193</v>
      </c>
      <c r="B22" s="27">
        <f>B21*45000000000</f>
        <v>59126021056.308342</v>
      </c>
      <c r="C22" s="27">
        <f t="shared" ref="C22:AP22" si="9">C21*45000000000</f>
        <v>62707692445.814713</v>
      </c>
      <c r="D22" s="27">
        <f t="shared" si="9"/>
        <v>66665446769.445816</v>
      </c>
      <c r="E22" s="27">
        <f t="shared" si="9"/>
        <v>70803415024.267502</v>
      </c>
      <c r="F22" s="27">
        <f t="shared" si="9"/>
        <v>74951752147.032547</v>
      </c>
      <c r="G22" s="27">
        <f t="shared" si="9"/>
        <v>78904884690.094971</v>
      </c>
      <c r="H22" s="27">
        <f t="shared" si="9"/>
        <v>82645663450.481644</v>
      </c>
      <c r="I22" s="27">
        <f t="shared" si="9"/>
        <v>86469000688.053696</v>
      </c>
      <c r="J22" s="27">
        <f t="shared" si="9"/>
        <v>90595512295.177216</v>
      </c>
      <c r="K22" s="27">
        <f t="shared" si="9"/>
        <v>95209601374.675064</v>
      </c>
      <c r="L22" s="27">
        <f t="shared" si="9"/>
        <v>100445517079.37222</v>
      </c>
      <c r="M22" s="27">
        <f t="shared" si="9"/>
        <v>106368345056.0784</v>
      </c>
      <c r="N22" s="27">
        <f t="shared" si="9"/>
        <v>112967615207.14725</v>
      </c>
      <c r="O22" s="27">
        <f t="shared" si="9"/>
        <v>120174938678.01334</v>
      </c>
      <c r="P22" s="27">
        <f t="shared" si="9"/>
        <v>127876118725.95477</v>
      </c>
      <c r="Q22" s="27">
        <f t="shared" si="9"/>
        <v>135947958878.34172</v>
      </c>
      <c r="R22" s="27">
        <f t="shared" si="9"/>
        <v>144292492358.04901</v>
      </c>
      <c r="S22" s="27">
        <f t="shared" si="9"/>
        <v>152901376815.3566</v>
      </c>
      <c r="T22" s="27">
        <f t="shared" si="9"/>
        <v>161868200648.34445</v>
      </c>
      <c r="U22" s="27">
        <f t="shared" si="9"/>
        <v>171337874717.93222</v>
      </c>
      <c r="V22">
        <f t="shared" si="9"/>
        <v>171000000000</v>
      </c>
      <c r="W22">
        <f t="shared" si="9"/>
        <v>195975000000.00003</v>
      </c>
      <c r="X22">
        <f t="shared" si="9"/>
        <v>190350000000.00003</v>
      </c>
      <c r="Y22">
        <f t="shared" si="9"/>
        <v>192240000000</v>
      </c>
      <c r="Z22">
        <f t="shared" si="9"/>
        <v>200025000000</v>
      </c>
      <c r="AA22">
        <f t="shared" si="9"/>
        <v>214065000000</v>
      </c>
      <c r="AB22">
        <f t="shared" si="9"/>
        <v>237780000000</v>
      </c>
      <c r="AC22">
        <f t="shared" si="9"/>
        <v>267885000000</v>
      </c>
      <c r="AD22">
        <f t="shared" si="9"/>
        <v>293310000000</v>
      </c>
      <c r="AE22">
        <f t="shared" si="9"/>
        <v>314055000000</v>
      </c>
      <c r="AF22">
        <f t="shared" si="9"/>
        <v>329355000000</v>
      </c>
      <c r="AG22">
        <f t="shared" si="9"/>
        <v>339570000000</v>
      </c>
      <c r="AH22">
        <f t="shared" si="9"/>
        <v>346455000000</v>
      </c>
      <c r="AI22">
        <f t="shared" si="9"/>
        <v>352485000000</v>
      </c>
      <c r="AJ22">
        <f t="shared" si="9"/>
        <v>359730000000</v>
      </c>
      <c r="AK22">
        <f t="shared" si="9"/>
        <v>369990000000</v>
      </c>
      <c r="AL22">
        <f t="shared" si="9"/>
        <v>384030000000.00006</v>
      </c>
      <c r="AM22">
        <f t="shared" si="9"/>
        <v>401670000000</v>
      </c>
      <c r="AN22">
        <f t="shared" si="9"/>
        <v>420570000000</v>
      </c>
      <c r="AO22">
        <f t="shared" si="9"/>
        <v>437445000000</v>
      </c>
      <c r="AP22">
        <f t="shared" si="9"/>
        <v>450000000000</v>
      </c>
    </row>
    <row r="23" spans="1:42" ht="30" x14ac:dyDescent="0.2">
      <c r="A23" s="65" t="s">
        <v>191</v>
      </c>
    </row>
    <row r="24" spans="1:42" ht="30" x14ac:dyDescent="0.2">
      <c r="A24" s="65" t="s">
        <v>190</v>
      </c>
    </row>
    <row r="27" spans="1:42" x14ac:dyDescent="0.2">
      <c r="A27" s="3" t="s">
        <v>194</v>
      </c>
      <c r="B27">
        <f>B15/(B15+B21)</f>
        <v>0.77971327486915121</v>
      </c>
      <c r="C27">
        <f t="shared" ref="C27:AP27" si="10">C15/(C15+C21)</f>
        <v>0.78046036576372313</v>
      </c>
      <c r="D27">
        <f t="shared" si="10"/>
        <v>0.78129145227166807</v>
      </c>
      <c r="E27">
        <f t="shared" si="10"/>
        <v>0.78222325245129776</v>
      </c>
      <c r="F27">
        <f t="shared" si="10"/>
        <v>0.78321744569008056</v>
      </c>
      <c r="G27">
        <f t="shared" si="10"/>
        <v>0.78424843948338541</v>
      </c>
      <c r="H27">
        <f t="shared" si="10"/>
        <v>0.78527218015223232</v>
      </c>
      <c r="I27">
        <f t="shared" si="10"/>
        <v>0.78626838510587171</v>
      </c>
      <c r="J27">
        <f t="shared" si="10"/>
        <v>0.78724292850488242</v>
      </c>
      <c r="K27">
        <f t="shared" si="10"/>
        <v>0.78816638746428602</v>
      </c>
      <c r="L27">
        <f t="shared" si="10"/>
        <v>0.78902568930323946</v>
      </c>
      <c r="M27">
        <f t="shared" si="10"/>
        <v>0.78980484665569006</v>
      </c>
      <c r="N27">
        <f t="shared" si="10"/>
        <v>0.79051559975479546</v>
      </c>
      <c r="O27">
        <f t="shared" si="10"/>
        <v>0.7911600732212587</v>
      </c>
      <c r="P27">
        <f t="shared" si="10"/>
        <v>0.79175137240881299</v>
      </c>
      <c r="Q27">
        <f t="shared" si="10"/>
        <v>0.7922497474305592</v>
      </c>
      <c r="R27">
        <f t="shared" si="10"/>
        <v>0.79267338169428347</v>
      </c>
      <c r="S27">
        <f t="shared" si="10"/>
        <v>0.79305148410372395</v>
      </c>
      <c r="T27">
        <f t="shared" si="10"/>
        <v>0.79340025338423159</v>
      </c>
      <c r="U27">
        <f t="shared" si="10"/>
        <v>0.79372208189309312</v>
      </c>
      <c r="V27">
        <f t="shared" si="10"/>
        <v>0.79999999999999993</v>
      </c>
      <c r="W27">
        <f t="shared" si="10"/>
        <v>0.80036672014668808</v>
      </c>
      <c r="X27">
        <f t="shared" si="10"/>
        <v>0.80047169811320751</v>
      </c>
      <c r="Y27">
        <f t="shared" si="10"/>
        <v>0.80085772888308793</v>
      </c>
      <c r="Z27">
        <f t="shared" si="10"/>
        <v>0.80080663231010529</v>
      </c>
      <c r="AA27">
        <f t="shared" si="10"/>
        <v>0.80085402101561509</v>
      </c>
      <c r="AB27">
        <f t="shared" si="10"/>
        <v>0.8009342977697409</v>
      </c>
      <c r="AC27">
        <f t="shared" si="10"/>
        <v>0.80132163001034618</v>
      </c>
      <c r="AD27">
        <f t="shared" si="10"/>
        <v>0.80187245425253817</v>
      </c>
      <c r="AE27">
        <f t="shared" si="10"/>
        <v>0.80234501118694956</v>
      </c>
      <c r="AF27">
        <f t="shared" si="10"/>
        <v>0.80314155840662738</v>
      </c>
      <c r="AG27">
        <f t="shared" si="10"/>
        <v>0.80418310151546601</v>
      </c>
      <c r="AH27">
        <f t="shared" si="10"/>
        <v>0.8055758983812723</v>
      </c>
      <c r="AI27">
        <f t="shared" si="10"/>
        <v>0.80708322045169079</v>
      </c>
      <c r="AJ27">
        <f t="shared" si="10"/>
        <v>0.80882001243602619</v>
      </c>
      <c r="AK27">
        <f t="shared" si="10"/>
        <v>0.8106925769018235</v>
      </c>
      <c r="AL27">
        <f t="shared" si="10"/>
        <v>0.81331758323489522</v>
      </c>
      <c r="AM27">
        <f t="shared" si="10"/>
        <v>0.8162088704031627</v>
      </c>
      <c r="AN27">
        <f t="shared" si="10"/>
        <v>0.81924728271380487</v>
      </c>
      <c r="AO27">
        <f t="shared" si="10"/>
        <v>0.82254796371004546</v>
      </c>
      <c r="AP27">
        <f t="shared" si="10"/>
        <v>0.82626824183460734</v>
      </c>
    </row>
    <row r="28" spans="1:42" x14ac:dyDescent="0.2">
      <c r="A28" s="3" t="s">
        <v>195</v>
      </c>
      <c r="B28">
        <f>B21/(B21+B15)</f>
        <v>0.22028672513084874</v>
      </c>
      <c r="C28">
        <f t="shared" ref="C28:AP28" si="11">C21/(C21+C15)</f>
        <v>0.21953963423627695</v>
      </c>
      <c r="D28">
        <f t="shared" si="11"/>
        <v>0.21870854772833193</v>
      </c>
      <c r="E28">
        <f t="shared" si="11"/>
        <v>0.21777674754870213</v>
      </c>
      <c r="F28">
        <f t="shared" si="11"/>
        <v>0.21678255430991941</v>
      </c>
      <c r="G28">
        <f t="shared" si="11"/>
        <v>0.21575156051661454</v>
      </c>
      <c r="H28">
        <f t="shared" si="11"/>
        <v>0.21472781984776768</v>
      </c>
      <c r="I28">
        <f t="shared" si="11"/>
        <v>0.21373161489412834</v>
      </c>
      <c r="J28">
        <f t="shared" si="11"/>
        <v>0.21275707149511763</v>
      </c>
      <c r="K28">
        <f t="shared" si="11"/>
        <v>0.21183361253571398</v>
      </c>
      <c r="L28">
        <f t="shared" si="11"/>
        <v>0.21097431069676056</v>
      </c>
      <c r="M28">
        <f t="shared" si="11"/>
        <v>0.21019515334430994</v>
      </c>
      <c r="N28">
        <f t="shared" si="11"/>
        <v>0.20948440024520454</v>
      </c>
      <c r="O28">
        <f t="shared" si="11"/>
        <v>0.20883992677874136</v>
      </c>
      <c r="P28">
        <f t="shared" si="11"/>
        <v>0.20824862759118709</v>
      </c>
      <c r="Q28">
        <f t="shared" si="11"/>
        <v>0.20775025256944077</v>
      </c>
      <c r="R28">
        <f t="shared" si="11"/>
        <v>0.20732661830571655</v>
      </c>
      <c r="S28">
        <f t="shared" si="11"/>
        <v>0.20694851589627614</v>
      </c>
      <c r="T28">
        <f t="shared" si="11"/>
        <v>0.20659974661576844</v>
      </c>
      <c r="U28">
        <f t="shared" si="11"/>
        <v>0.20627791810690677</v>
      </c>
      <c r="V28">
        <f t="shared" si="11"/>
        <v>0.19999999999999998</v>
      </c>
      <c r="W28">
        <f t="shared" si="11"/>
        <v>0.19963327985331195</v>
      </c>
      <c r="X28">
        <f t="shared" si="11"/>
        <v>0.19952830188679249</v>
      </c>
      <c r="Y28">
        <f t="shared" si="11"/>
        <v>0.19914227111691221</v>
      </c>
      <c r="Z28">
        <f t="shared" si="11"/>
        <v>0.19919336768989468</v>
      </c>
      <c r="AA28">
        <f t="shared" si="11"/>
        <v>0.1991459789843848</v>
      </c>
      <c r="AB28">
        <f t="shared" si="11"/>
        <v>0.19906570223025918</v>
      </c>
      <c r="AC28">
        <f t="shared" si="11"/>
        <v>0.19867836998965391</v>
      </c>
      <c r="AD28">
        <f t="shared" si="11"/>
        <v>0.19812754574746186</v>
      </c>
      <c r="AE28">
        <f t="shared" si="11"/>
        <v>0.19765498881305052</v>
      </c>
      <c r="AF28">
        <f t="shared" si="11"/>
        <v>0.1968584415933726</v>
      </c>
      <c r="AG28">
        <f t="shared" si="11"/>
        <v>0.19581689848453393</v>
      </c>
      <c r="AH28">
        <f t="shared" si="11"/>
        <v>0.19442410161872775</v>
      </c>
      <c r="AI28">
        <f t="shared" si="11"/>
        <v>0.19291677954830924</v>
      </c>
      <c r="AJ28">
        <f t="shared" si="11"/>
        <v>0.19117998756397378</v>
      </c>
      <c r="AK28">
        <f t="shared" si="11"/>
        <v>0.18930742309817644</v>
      </c>
      <c r="AL28">
        <f t="shared" si="11"/>
        <v>0.1866824167651048</v>
      </c>
      <c r="AM28">
        <f t="shared" si="11"/>
        <v>0.1837911295968373</v>
      </c>
      <c r="AN28">
        <f t="shared" si="11"/>
        <v>0.18075271728619502</v>
      </c>
      <c r="AO28">
        <f t="shared" si="11"/>
        <v>0.17745203628995454</v>
      </c>
      <c r="AP28">
        <f t="shared" si="11"/>
        <v>0.17373175816539263</v>
      </c>
    </row>
    <row r="35" spans="6:7" x14ac:dyDescent="0.2">
      <c r="F35" s="54">
        <v>2010</v>
      </c>
      <c r="G35" s="56">
        <v>3.8</v>
      </c>
    </row>
    <row r="36" spans="6:7" x14ac:dyDescent="0.2">
      <c r="F36" s="54">
        <v>2011</v>
      </c>
      <c r="G36" s="56">
        <v>4.3550000000000004</v>
      </c>
    </row>
    <row r="37" spans="6:7" x14ac:dyDescent="0.2">
      <c r="F37" s="54">
        <v>2012</v>
      </c>
      <c r="G37" s="56">
        <v>4.2300000000000004</v>
      </c>
    </row>
    <row r="38" spans="6:7" x14ac:dyDescent="0.2">
      <c r="F38" s="54">
        <v>2013</v>
      </c>
      <c r="G38" s="56">
        <v>4.2720000000000002</v>
      </c>
    </row>
    <row r="39" spans="6:7" x14ac:dyDescent="0.2">
      <c r="F39" s="54">
        <v>2014</v>
      </c>
      <c r="G39" s="56">
        <v>4.4450000000000003</v>
      </c>
    </row>
    <row r="40" spans="6:7" x14ac:dyDescent="0.2">
      <c r="F40" s="54">
        <v>2015</v>
      </c>
      <c r="G40" s="56">
        <v>4.7569999999999997</v>
      </c>
    </row>
    <row r="41" spans="6:7" x14ac:dyDescent="0.2">
      <c r="F41" s="54">
        <v>2016</v>
      </c>
      <c r="G41" s="56">
        <v>5.2839999999999998</v>
      </c>
    </row>
    <row r="42" spans="6:7" x14ac:dyDescent="0.2">
      <c r="F42" s="54">
        <v>2017</v>
      </c>
      <c r="G42" s="56">
        <v>5.9530000000000003</v>
      </c>
    </row>
    <row r="43" spans="6:7" x14ac:dyDescent="0.2">
      <c r="F43" s="54">
        <v>2018</v>
      </c>
      <c r="G43" s="56">
        <v>6.5179999999999998</v>
      </c>
    </row>
    <row r="44" spans="6:7" x14ac:dyDescent="0.2">
      <c r="F44" s="54">
        <v>2019</v>
      </c>
      <c r="G44" s="56">
        <v>6.9790000000000001</v>
      </c>
    </row>
    <row r="45" spans="6:7" x14ac:dyDescent="0.2">
      <c r="F45" s="54">
        <v>2020</v>
      </c>
      <c r="G45" s="56">
        <v>7.319</v>
      </c>
    </row>
    <row r="46" spans="6:7" x14ac:dyDescent="0.2">
      <c r="F46" s="54">
        <v>2021</v>
      </c>
      <c r="G46" s="56">
        <v>7.5460000000000003</v>
      </c>
    </row>
    <row r="47" spans="6:7" x14ac:dyDescent="0.2">
      <c r="F47" s="54">
        <v>2022</v>
      </c>
      <c r="G47" s="56">
        <v>7.6989999999999998</v>
      </c>
    </row>
    <row r="48" spans="6:7" x14ac:dyDescent="0.2">
      <c r="F48" s="54">
        <v>2023</v>
      </c>
      <c r="G48" s="56">
        <v>7.8330000000000002</v>
      </c>
    </row>
    <row r="49" spans="6:7" x14ac:dyDescent="0.2">
      <c r="F49" s="54">
        <v>2024</v>
      </c>
      <c r="G49" s="56">
        <v>7.9939999999999998</v>
      </c>
    </row>
    <row r="50" spans="6:7" x14ac:dyDescent="0.2">
      <c r="F50" s="54">
        <v>2025</v>
      </c>
      <c r="G50" s="56">
        <v>8.2219999999999995</v>
      </c>
    </row>
    <row r="51" spans="6:7" x14ac:dyDescent="0.2">
      <c r="F51" s="54">
        <v>2026</v>
      </c>
      <c r="G51" s="56">
        <v>8.5340000000000007</v>
      </c>
    </row>
    <row r="52" spans="6:7" x14ac:dyDescent="0.2">
      <c r="F52" s="54">
        <v>2027</v>
      </c>
      <c r="G52" s="56">
        <v>8.9260000000000002</v>
      </c>
    </row>
    <row r="53" spans="6:7" x14ac:dyDescent="0.2">
      <c r="F53" s="54">
        <v>2028</v>
      </c>
      <c r="G53" s="56">
        <v>9.3460000000000001</v>
      </c>
    </row>
    <row r="54" spans="6:7" x14ac:dyDescent="0.2">
      <c r="F54" s="54">
        <v>2029</v>
      </c>
      <c r="G54" s="56">
        <v>9.7210000000000001</v>
      </c>
    </row>
    <row r="55" spans="6:7" x14ac:dyDescent="0.2">
      <c r="F55" s="54">
        <v>2030</v>
      </c>
      <c r="G55" s="56">
        <v>10</v>
      </c>
    </row>
  </sheetData>
  <mergeCells count="1">
    <mergeCell ref="A9:G1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
  <sheetViews>
    <sheetView workbookViewId="0">
      <selection activeCell="AB2" sqref="AB2"/>
    </sheetView>
  </sheetViews>
  <sheetFormatPr baseColWidth="10" defaultColWidth="8.83203125" defaultRowHeight="15" x14ac:dyDescent="0.2"/>
  <sheetData>
    <row r="1" spans="1:28" x14ac:dyDescent="0.2">
      <c r="A1" s="45" t="s">
        <v>10</v>
      </c>
      <c r="B1" s="45" t="s">
        <v>97</v>
      </c>
      <c r="C1" s="45" t="s">
        <v>98</v>
      </c>
      <c r="D1" s="45" t="s">
        <v>99</v>
      </c>
      <c r="E1" s="45" t="s">
        <v>100</v>
      </c>
      <c r="F1" s="45" t="s">
        <v>101</v>
      </c>
      <c r="G1" s="45" t="s">
        <v>102</v>
      </c>
      <c r="H1" s="45" t="s">
        <v>103</v>
      </c>
      <c r="I1" s="45" t="s">
        <v>104</v>
      </c>
      <c r="J1" s="45" t="s">
        <v>105</v>
      </c>
      <c r="K1" s="45" t="s">
        <v>106</v>
      </c>
      <c r="L1" s="45" t="s">
        <v>107</v>
      </c>
      <c r="M1" s="45" t="s">
        <v>108</v>
      </c>
      <c r="N1" s="45" t="s">
        <v>109</v>
      </c>
      <c r="O1" s="45" t="s">
        <v>110</v>
      </c>
      <c r="P1" s="78" t="s">
        <v>111</v>
      </c>
      <c r="Q1" s="78"/>
      <c r="R1" s="45" t="s">
        <v>112</v>
      </c>
      <c r="S1" s="45" t="s">
        <v>113</v>
      </c>
      <c r="T1" s="45" t="s">
        <v>114</v>
      </c>
      <c r="U1" s="45" t="s">
        <v>115</v>
      </c>
      <c r="V1" s="45" t="s">
        <v>116</v>
      </c>
      <c r="W1" s="45" t="s">
        <v>154</v>
      </c>
      <c r="X1" s="45" t="s">
        <v>155</v>
      </c>
      <c r="Y1" s="45" t="s">
        <v>156</v>
      </c>
      <c r="Z1" s="45" t="s">
        <v>157</v>
      </c>
      <c r="AA1" s="45" t="s">
        <v>158</v>
      </c>
      <c r="AB1" s="45" t="s">
        <v>159</v>
      </c>
    </row>
    <row r="2" spans="1:28" x14ac:dyDescent="0.2">
      <c r="A2" s="46" t="s">
        <v>11</v>
      </c>
      <c r="B2" s="46" t="s">
        <v>177</v>
      </c>
      <c r="C2" s="47" t="s">
        <v>139</v>
      </c>
      <c r="D2" s="47" t="s">
        <v>147</v>
      </c>
      <c r="E2" s="47" t="s">
        <v>160</v>
      </c>
      <c r="F2" s="47" t="s">
        <v>161</v>
      </c>
      <c r="G2" s="47" t="s">
        <v>162</v>
      </c>
      <c r="H2" s="47" t="s">
        <v>163</v>
      </c>
      <c r="I2" s="47" t="s">
        <v>164</v>
      </c>
      <c r="J2" s="47" t="s">
        <v>165</v>
      </c>
      <c r="K2" s="47" t="s">
        <v>166</v>
      </c>
      <c r="L2" s="47" t="s">
        <v>167</v>
      </c>
      <c r="M2" s="47" t="s">
        <v>168</v>
      </c>
      <c r="N2" s="47" t="s">
        <v>169</v>
      </c>
      <c r="O2" s="47" t="s">
        <v>168</v>
      </c>
      <c r="P2" s="79" t="s">
        <v>167</v>
      </c>
      <c r="Q2" s="79"/>
      <c r="R2" s="47" t="s">
        <v>170</v>
      </c>
      <c r="S2" s="47" t="s">
        <v>167</v>
      </c>
      <c r="T2" s="47" t="s">
        <v>165</v>
      </c>
      <c r="U2" s="47" t="s">
        <v>170</v>
      </c>
      <c r="V2" s="47" t="s">
        <v>171</v>
      </c>
      <c r="W2" s="47" t="s">
        <v>172</v>
      </c>
      <c r="X2" s="47" t="s">
        <v>168</v>
      </c>
      <c r="Y2" s="47" t="s">
        <v>173</v>
      </c>
      <c r="Z2" s="47" t="s">
        <v>174</v>
      </c>
      <c r="AA2" s="47" t="s">
        <v>175</v>
      </c>
      <c r="AB2" s="47" t="s">
        <v>175</v>
      </c>
    </row>
    <row r="3" spans="1:28" ht="42.75" customHeight="1" x14ac:dyDescent="0.2">
      <c r="A3" s="80" t="s">
        <v>176</v>
      </c>
      <c r="B3" s="80"/>
      <c r="C3" s="80"/>
      <c r="D3" s="80"/>
      <c r="E3" s="80"/>
      <c r="F3" s="80"/>
      <c r="G3" s="80"/>
      <c r="H3" s="80"/>
      <c r="I3" s="80"/>
      <c r="J3" s="80"/>
      <c r="K3" s="80"/>
      <c r="L3" s="80"/>
      <c r="M3" s="80"/>
      <c r="N3" s="80"/>
      <c r="O3" s="80"/>
      <c r="P3" s="80"/>
      <c r="Q3" s="48"/>
      <c r="R3" s="48"/>
      <c r="S3" s="48"/>
      <c r="T3" s="48"/>
      <c r="U3" s="48"/>
      <c r="V3" s="48"/>
      <c r="W3" s="48"/>
      <c r="X3" s="48"/>
      <c r="Y3" s="48"/>
      <c r="Z3" s="48"/>
      <c r="AA3" s="48"/>
      <c r="AB3" s="48"/>
    </row>
  </sheetData>
  <mergeCells count="3">
    <mergeCell ref="P1:Q1"/>
    <mergeCell ref="P2:Q2"/>
    <mergeCell ref="A3:P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workbookViewId="0">
      <selection activeCell="C13" sqref="C13"/>
    </sheetView>
  </sheetViews>
  <sheetFormatPr baseColWidth="10" defaultColWidth="8.83203125" defaultRowHeight="15" x14ac:dyDescent="0.2"/>
  <cols>
    <col min="1" max="1" width="63.83203125" bestFit="1" customWidth="1"/>
    <col min="2" max="15" width="12" bestFit="1" customWidth="1"/>
    <col min="16" max="24" width="13.1640625" bestFit="1" customWidth="1"/>
    <col min="25" max="27" width="14.1640625" bestFit="1" customWidth="1"/>
  </cols>
  <sheetData>
    <row r="1" spans="1:27" x14ac:dyDescent="0.2">
      <c r="A1" t="s">
        <v>34</v>
      </c>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row>
    <row r="2" spans="1:27" x14ac:dyDescent="0.2">
      <c r="A2" t="s">
        <v>180</v>
      </c>
      <c r="B2" t="s">
        <v>147</v>
      </c>
    </row>
    <row r="3" spans="1:27" x14ac:dyDescent="0.2">
      <c r="A3" t="s">
        <v>181</v>
      </c>
      <c r="B3" s="19">
        <v>18565799936</v>
      </c>
      <c r="C3" s="19">
        <v>35591008256</v>
      </c>
      <c r="D3" s="19">
        <v>36500791296</v>
      </c>
      <c r="E3" s="19">
        <v>34890502144</v>
      </c>
      <c r="F3" s="19">
        <v>31755309056</v>
      </c>
      <c r="G3" s="19">
        <v>27744800768</v>
      </c>
      <c r="H3" s="19">
        <v>23792887808</v>
      </c>
      <c r="I3" s="19">
        <v>20894615552</v>
      </c>
      <c r="J3" s="19">
        <v>20069224448</v>
      </c>
      <c r="K3" s="19">
        <v>22454208512</v>
      </c>
      <c r="L3" s="19">
        <v>28970598400</v>
      </c>
      <c r="M3" s="19">
        <v>40668250112</v>
      </c>
      <c r="N3" s="19">
        <v>58458238976</v>
      </c>
      <c r="O3" s="19">
        <v>83208896512</v>
      </c>
      <c r="P3" s="19">
        <v>117380251648</v>
      </c>
      <c r="Q3" s="19">
        <v>163595960320</v>
      </c>
      <c r="R3" s="19">
        <v>223249596416</v>
      </c>
      <c r="S3" s="19">
        <v>299756912640</v>
      </c>
      <c r="T3" s="19">
        <v>391097286656</v>
      </c>
      <c r="U3" s="19">
        <v>503029137408</v>
      </c>
      <c r="V3" s="19">
        <v>635780923392</v>
      </c>
      <c r="W3" s="19">
        <v>796532932608</v>
      </c>
      <c r="X3" s="19">
        <v>981229240320</v>
      </c>
      <c r="Y3" s="19">
        <v>1219805839360</v>
      </c>
      <c r="Z3" s="19">
        <v>1473833598976</v>
      </c>
      <c r="AA3" s="19">
        <v>1721550503936</v>
      </c>
    </row>
    <row r="4" spans="1:27" x14ac:dyDescent="0.2">
      <c r="B4" s="19"/>
      <c r="C4" s="19"/>
      <c r="D4" s="19"/>
      <c r="E4" s="19"/>
      <c r="F4" s="19"/>
      <c r="G4" s="19"/>
      <c r="H4" s="19"/>
    </row>
    <row r="5" spans="1:27" x14ac:dyDescent="0.2">
      <c r="B5" s="19"/>
      <c r="C5" s="19"/>
      <c r="D5" s="19"/>
      <c r="E5" s="19"/>
      <c r="F5" s="19"/>
      <c r="G5" s="19"/>
      <c r="H5" s="19"/>
    </row>
    <row r="6" spans="1:27" x14ac:dyDescent="0.2">
      <c r="B6" s="19"/>
      <c r="C6" s="19"/>
      <c r="D6" s="19"/>
      <c r="E6" s="19"/>
      <c r="F6" s="19"/>
      <c r="G6" s="19"/>
      <c r="H6" s="19"/>
    </row>
    <row r="7" spans="1:27" x14ac:dyDescent="0.2">
      <c r="B7" s="19"/>
      <c r="C7" s="19"/>
      <c r="D7" s="19"/>
      <c r="E7" s="19"/>
      <c r="F7" s="19"/>
      <c r="G7" s="19"/>
      <c r="H7"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3"/>
  <sheetViews>
    <sheetView topLeftCell="A31" workbookViewId="0">
      <selection activeCell="B49" sqref="B49"/>
    </sheetView>
  </sheetViews>
  <sheetFormatPr baseColWidth="10" defaultColWidth="8.83203125" defaultRowHeight="15" x14ac:dyDescent="0.2"/>
  <cols>
    <col min="1" max="1" width="54.83203125" bestFit="1" customWidth="1"/>
    <col min="2" max="2" width="9.6640625" bestFit="1" customWidth="1"/>
    <col min="3" max="3" width="12.83203125" customWidth="1"/>
    <col min="4" max="25" width="9.5" bestFit="1" customWidth="1"/>
    <col min="26" max="27" width="10.5" bestFit="1" customWidth="1"/>
    <col min="28" max="28" width="9.5" bestFit="1" customWidth="1"/>
    <col min="41" max="41" width="9.5" bestFit="1" customWidth="1"/>
  </cols>
  <sheetData>
    <row r="1" spans="1:27" ht="33.75" customHeight="1" x14ac:dyDescent="0.2">
      <c r="A1" s="3" t="s">
        <v>6</v>
      </c>
    </row>
    <row r="2" spans="1:27" x14ac:dyDescent="0.2">
      <c r="B2" s="10">
        <v>1990</v>
      </c>
      <c r="C2" s="10">
        <v>1991</v>
      </c>
      <c r="D2" s="10">
        <v>1992</v>
      </c>
      <c r="E2" s="10">
        <v>1993</v>
      </c>
      <c r="F2" s="10">
        <v>1994</v>
      </c>
      <c r="G2" s="10">
        <v>1995</v>
      </c>
      <c r="H2" s="10">
        <v>1996</v>
      </c>
      <c r="I2" s="10">
        <v>1997</v>
      </c>
      <c r="J2" s="10">
        <v>1998</v>
      </c>
      <c r="K2" s="10">
        <v>1999</v>
      </c>
      <c r="L2" s="10">
        <v>2000</v>
      </c>
      <c r="M2" s="10">
        <v>2001</v>
      </c>
      <c r="N2" s="10">
        <v>2002</v>
      </c>
      <c r="O2" s="10">
        <v>2003</v>
      </c>
      <c r="P2" s="10">
        <v>2004</v>
      </c>
      <c r="Q2" s="10">
        <v>2005</v>
      </c>
      <c r="R2" s="10">
        <v>2006</v>
      </c>
      <c r="S2" s="10">
        <v>2007</v>
      </c>
      <c r="T2" s="10">
        <v>2008</v>
      </c>
      <c r="U2" s="10">
        <v>2009</v>
      </c>
      <c r="V2" s="10">
        <v>2010</v>
      </c>
      <c r="W2" s="10">
        <v>2011</v>
      </c>
      <c r="X2" s="10">
        <v>2012</v>
      </c>
      <c r="Y2" s="10">
        <v>2013</v>
      </c>
      <c r="Z2" s="10">
        <v>2014</v>
      </c>
      <c r="AA2" s="10">
        <v>2015</v>
      </c>
    </row>
    <row r="3" spans="1:27" x14ac:dyDescent="0.2">
      <c r="A3" s="1" t="s">
        <v>0</v>
      </c>
      <c r="B3" s="11">
        <v>22.58</v>
      </c>
      <c r="C3" s="4">
        <f t="shared" ref="C3:C7" si="0">B3+(D3-B3)/2</f>
        <v>23.954999999999998</v>
      </c>
      <c r="D3" s="12">
        <v>25.33</v>
      </c>
      <c r="E3" s="8">
        <f>D3+($I3-$D3)/5</f>
        <v>25.593999999999998</v>
      </c>
      <c r="F3" s="8">
        <f t="shared" ref="F3:H3" si="1">E3+($I3-$D3)/5</f>
        <v>25.857999999999997</v>
      </c>
      <c r="G3" s="8">
        <f t="shared" si="1"/>
        <v>26.121999999999996</v>
      </c>
      <c r="H3" s="8">
        <f t="shared" si="1"/>
        <v>26.385999999999996</v>
      </c>
      <c r="I3" s="14">
        <v>26.65</v>
      </c>
      <c r="J3" s="16">
        <f>I3+($N3-$I3)/5</f>
        <v>25.68</v>
      </c>
      <c r="K3" s="16">
        <f t="shared" ref="K3:M3" si="2">J3+($N3-$I3)/5</f>
        <v>24.71</v>
      </c>
      <c r="L3" s="16">
        <f t="shared" si="2"/>
        <v>23.740000000000002</v>
      </c>
      <c r="M3" s="16">
        <f t="shared" si="2"/>
        <v>22.770000000000003</v>
      </c>
      <c r="N3" s="13">
        <v>21.8</v>
      </c>
      <c r="O3" s="8">
        <f t="shared" ref="O3:R3" si="3">N3+($S3-$N3)/5</f>
        <v>21.208000000000002</v>
      </c>
      <c r="P3" s="8">
        <f t="shared" si="3"/>
        <v>20.616000000000003</v>
      </c>
      <c r="Q3" s="8">
        <f t="shared" si="3"/>
        <v>20.024000000000004</v>
      </c>
      <c r="R3" s="8">
        <f t="shared" si="3"/>
        <v>19.432000000000006</v>
      </c>
      <c r="S3" s="13">
        <v>18.84</v>
      </c>
      <c r="T3" s="8">
        <f>S3+($X3-$S3)/5</f>
        <v>18.661999999999999</v>
      </c>
      <c r="U3" s="8">
        <f t="shared" ref="U3:W3" si="4">T3+($X3-$S3)/5</f>
        <v>18.483999999999998</v>
      </c>
      <c r="V3" s="8">
        <f t="shared" si="4"/>
        <v>18.305999999999997</v>
      </c>
      <c r="W3" s="8">
        <f t="shared" si="4"/>
        <v>18.127999999999997</v>
      </c>
      <c r="X3" s="13">
        <v>17.95</v>
      </c>
      <c r="Y3" s="13">
        <v>17.89</v>
      </c>
      <c r="Z3" s="13">
        <v>18.190000000000001</v>
      </c>
      <c r="AA3" s="13">
        <v>18.45</v>
      </c>
    </row>
    <row r="4" spans="1:27" x14ac:dyDescent="0.2">
      <c r="A4" s="1" t="s">
        <v>1</v>
      </c>
      <c r="B4" s="11">
        <v>51.45</v>
      </c>
      <c r="C4" s="4">
        <f t="shared" si="0"/>
        <v>49.695</v>
      </c>
      <c r="D4" s="12">
        <v>47.94</v>
      </c>
      <c r="E4" s="8">
        <f t="shared" ref="E4:F7" si="5">D4+($I4-$D4)/5</f>
        <v>47.186</v>
      </c>
      <c r="F4" s="8">
        <f t="shared" si="5"/>
        <v>46.432000000000002</v>
      </c>
      <c r="G4" s="8">
        <f t="shared" ref="G4" si="6">F4+($I4-$D4)/5</f>
        <v>45.678000000000004</v>
      </c>
      <c r="H4" s="8">
        <f t="shared" ref="H4" si="7">G4+($I4-$D4)/5</f>
        <v>44.924000000000007</v>
      </c>
      <c r="I4" s="14">
        <v>44.17</v>
      </c>
      <c r="J4" s="16">
        <f t="shared" ref="J4:M4" si="8">I4+($N4-$I4)/5</f>
        <v>43.85</v>
      </c>
      <c r="K4" s="16">
        <f t="shared" si="8"/>
        <v>43.53</v>
      </c>
      <c r="L4" s="16">
        <f t="shared" si="8"/>
        <v>43.21</v>
      </c>
      <c r="M4" s="16">
        <f t="shared" si="8"/>
        <v>42.89</v>
      </c>
      <c r="N4" s="13">
        <v>42.57</v>
      </c>
      <c r="O4" s="8">
        <f t="shared" ref="O4:R4" si="9">N4+($S4-$N4)/5</f>
        <v>43.234000000000002</v>
      </c>
      <c r="P4" s="8">
        <f t="shared" si="9"/>
        <v>43.898000000000003</v>
      </c>
      <c r="Q4" s="8">
        <f t="shared" si="9"/>
        <v>44.562000000000005</v>
      </c>
      <c r="R4" s="8">
        <f t="shared" si="9"/>
        <v>45.226000000000006</v>
      </c>
      <c r="S4" s="13">
        <v>45.89</v>
      </c>
      <c r="T4" s="8">
        <f>S4+($X4-$S4)/5</f>
        <v>45.686</v>
      </c>
      <c r="U4" s="8">
        <f t="shared" ref="U4:W4" si="10">T4+($X4-$S4)/5</f>
        <v>45.481999999999999</v>
      </c>
      <c r="V4" s="8">
        <f t="shared" si="10"/>
        <v>45.277999999999999</v>
      </c>
      <c r="W4" s="8">
        <f t="shared" si="10"/>
        <v>45.073999999999998</v>
      </c>
      <c r="X4" s="13">
        <v>44.87</v>
      </c>
      <c r="Y4" s="13">
        <v>44.4</v>
      </c>
      <c r="Z4" s="13">
        <v>43.17</v>
      </c>
      <c r="AA4" s="13">
        <v>42.1</v>
      </c>
    </row>
    <row r="5" spans="1:27" x14ac:dyDescent="0.2">
      <c r="A5" s="1" t="s">
        <v>2</v>
      </c>
      <c r="B5" s="11">
        <v>15.16</v>
      </c>
      <c r="C5" s="4">
        <f>B5+(D5-B5)/2</f>
        <v>15.335000000000001</v>
      </c>
      <c r="D5" s="12">
        <v>15.51</v>
      </c>
      <c r="E5" s="8">
        <f t="shared" si="5"/>
        <v>15.914</v>
      </c>
      <c r="F5" s="8">
        <f t="shared" si="5"/>
        <v>16.318000000000001</v>
      </c>
      <c r="G5" s="8">
        <f t="shared" ref="G5" si="11">F5+($I5-$D5)/5</f>
        <v>16.722000000000001</v>
      </c>
      <c r="H5" s="8">
        <f t="shared" ref="H5" si="12">G5+($I5-$D5)/5</f>
        <v>17.126000000000001</v>
      </c>
      <c r="I5" s="14">
        <v>17.53</v>
      </c>
      <c r="J5" s="16">
        <f t="shared" ref="J5:M5" si="13">I5+($N5-$I5)/5</f>
        <v>18.278000000000002</v>
      </c>
      <c r="K5" s="16">
        <f t="shared" si="13"/>
        <v>19.026000000000003</v>
      </c>
      <c r="L5" s="16">
        <f t="shared" si="13"/>
        <v>19.774000000000004</v>
      </c>
      <c r="M5" s="16">
        <f t="shared" si="13"/>
        <v>20.522000000000006</v>
      </c>
      <c r="N5" s="13">
        <v>21.27</v>
      </c>
      <c r="O5" s="8">
        <f>N5+($S5-$N5)/5</f>
        <v>21.24</v>
      </c>
      <c r="P5" s="8">
        <f t="shared" ref="P5:R5" si="14">O5+($S5-$N5)/5</f>
        <v>21.209999999999997</v>
      </c>
      <c r="Q5" s="8">
        <f t="shared" si="14"/>
        <v>21.179999999999996</v>
      </c>
      <c r="R5" s="8">
        <f t="shared" si="14"/>
        <v>21.149999999999995</v>
      </c>
      <c r="S5" s="13">
        <v>21.12</v>
      </c>
      <c r="T5" s="8">
        <f>S5+($X5-$S5)/5</f>
        <v>21.254000000000001</v>
      </c>
      <c r="U5" s="8">
        <f t="shared" ref="U5:W7" si="15">T5+($X5-$S5)/5</f>
        <v>21.388000000000002</v>
      </c>
      <c r="V5" s="8">
        <f t="shared" si="15"/>
        <v>21.522000000000002</v>
      </c>
      <c r="W5" s="8">
        <f t="shared" si="15"/>
        <v>21.656000000000002</v>
      </c>
      <c r="X5" s="13">
        <v>21.79</v>
      </c>
      <c r="Y5" s="13">
        <v>22.29</v>
      </c>
      <c r="Z5" s="13">
        <v>22.95</v>
      </c>
      <c r="AA5" s="13">
        <v>23.53</v>
      </c>
    </row>
    <row r="6" spans="1:27" x14ac:dyDescent="0.2">
      <c r="A6" s="2" t="s">
        <v>3</v>
      </c>
      <c r="B6" s="11">
        <v>4.8899999999999997</v>
      </c>
      <c r="C6" s="4">
        <f t="shared" si="0"/>
        <v>5.0449999999999999</v>
      </c>
      <c r="D6" s="15">
        <v>5.2</v>
      </c>
      <c r="E6" s="8">
        <f t="shared" si="5"/>
        <v>5.2720000000000002</v>
      </c>
      <c r="F6" s="8">
        <f t="shared" si="5"/>
        <v>5.3440000000000003</v>
      </c>
      <c r="G6" s="8">
        <f t="shared" ref="G6:G7" si="16">F6+($I6-$D6)/5</f>
        <v>5.4160000000000004</v>
      </c>
      <c r="H6" s="8">
        <f t="shared" ref="H6:H7" si="17">G6+($I6-$D6)/5</f>
        <v>5.4880000000000004</v>
      </c>
      <c r="I6" s="14">
        <v>5.56</v>
      </c>
      <c r="J6" s="16">
        <f t="shared" ref="J6:M7" si="18">I6+($N6-$I6)/5</f>
        <v>5.7359999999999998</v>
      </c>
      <c r="K6" s="16">
        <f t="shared" si="18"/>
        <v>5.9119999999999999</v>
      </c>
      <c r="L6" s="16">
        <f t="shared" si="18"/>
        <v>6.0880000000000001</v>
      </c>
      <c r="M6" s="16">
        <f t="shared" si="18"/>
        <v>6.2640000000000002</v>
      </c>
      <c r="N6" s="13">
        <v>6.44</v>
      </c>
      <c r="O6" s="8">
        <f t="shared" ref="O6:R7" si="19">N6+($S6-$N6)/5</f>
        <v>6.6820000000000004</v>
      </c>
      <c r="P6" s="8">
        <f t="shared" si="19"/>
        <v>6.9240000000000004</v>
      </c>
      <c r="Q6" s="8">
        <f t="shared" si="19"/>
        <v>7.1660000000000004</v>
      </c>
      <c r="R6" s="8">
        <f t="shared" si="19"/>
        <v>7.4080000000000004</v>
      </c>
      <c r="S6" s="13">
        <v>7.65</v>
      </c>
      <c r="T6" s="8">
        <f>S6+($X6-$S6)/5</f>
        <v>7.7860000000000005</v>
      </c>
      <c r="U6" s="8">
        <f t="shared" si="15"/>
        <v>7.9220000000000006</v>
      </c>
      <c r="V6" s="8">
        <f t="shared" si="15"/>
        <v>8.0579999999999998</v>
      </c>
      <c r="W6" s="8">
        <f t="shared" si="15"/>
        <v>8.1939999999999991</v>
      </c>
      <c r="X6" s="13">
        <v>8.33</v>
      </c>
      <c r="Y6" s="13">
        <v>8.83</v>
      </c>
      <c r="Z6" s="13">
        <v>8.8000000000000007</v>
      </c>
      <c r="AA6" s="13">
        <v>8.77</v>
      </c>
    </row>
    <row r="7" spans="1:27" x14ac:dyDescent="0.2">
      <c r="A7" s="17" t="s">
        <v>80</v>
      </c>
      <c r="B7" s="14">
        <v>3.83</v>
      </c>
      <c r="C7" s="16">
        <f t="shared" si="0"/>
        <v>3.9449999999999998</v>
      </c>
      <c r="D7" s="14">
        <v>4.0599999999999996</v>
      </c>
      <c r="E7" s="8">
        <f t="shared" si="5"/>
        <v>4.05</v>
      </c>
      <c r="F7" s="8">
        <f t="shared" si="5"/>
        <v>4.04</v>
      </c>
      <c r="G7" s="8">
        <f t="shared" si="16"/>
        <v>4.03</v>
      </c>
      <c r="H7" s="8">
        <f t="shared" si="17"/>
        <v>4.0200000000000005</v>
      </c>
      <c r="I7" s="14">
        <v>4.01</v>
      </c>
      <c r="J7" s="16">
        <f t="shared" si="18"/>
        <v>4.3579999999999997</v>
      </c>
      <c r="K7" s="16">
        <f t="shared" si="18"/>
        <v>4.7059999999999995</v>
      </c>
      <c r="L7" s="16">
        <f t="shared" si="18"/>
        <v>5.0539999999999994</v>
      </c>
      <c r="M7" s="16">
        <f t="shared" si="18"/>
        <v>5.4019999999999992</v>
      </c>
      <c r="N7" s="13">
        <v>5.75</v>
      </c>
      <c r="O7" s="8">
        <f t="shared" si="19"/>
        <v>5.49</v>
      </c>
      <c r="P7" s="8">
        <f t="shared" si="19"/>
        <v>5.23</v>
      </c>
      <c r="Q7" s="8">
        <f t="shared" si="19"/>
        <v>4.9700000000000006</v>
      </c>
      <c r="R7" s="8">
        <f t="shared" si="19"/>
        <v>4.7100000000000009</v>
      </c>
      <c r="S7" s="13">
        <v>4.45</v>
      </c>
      <c r="T7" s="8">
        <f>S7+($X7-$S7)/5</f>
        <v>4.6100000000000003</v>
      </c>
      <c r="U7" s="8">
        <f t="shared" si="15"/>
        <v>4.7700000000000005</v>
      </c>
      <c r="V7" s="8">
        <f t="shared" si="15"/>
        <v>4.9300000000000006</v>
      </c>
      <c r="W7" s="8">
        <f t="shared" si="15"/>
        <v>5.0900000000000007</v>
      </c>
      <c r="X7" s="13">
        <v>5.25</v>
      </c>
      <c r="Y7" s="13">
        <v>4.4800000000000004</v>
      </c>
      <c r="Z7" s="13">
        <v>5.14</v>
      </c>
      <c r="AA7" s="13">
        <v>5.37</v>
      </c>
    </row>
    <row r="8" spans="1:27" ht="15" customHeight="1" x14ac:dyDescent="0.2">
      <c r="A8" s="74" t="s">
        <v>7</v>
      </c>
      <c r="B8" s="71"/>
      <c r="C8" s="71"/>
      <c r="D8" s="71"/>
      <c r="E8" s="71"/>
      <c r="F8" s="71"/>
    </row>
    <row r="9" spans="1:27" x14ac:dyDescent="0.2">
      <c r="A9" s="74"/>
      <c r="B9" s="71"/>
      <c r="C9" s="71"/>
      <c r="D9" s="71"/>
      <c r="E9" s="71"/>
      <c r="F9" s="71"/>
    </row>
    <row r="10" spans="1:27" x14ac:dyDescent="0.2">
      <c r="A10" s="17"/>
      <c r="B10" s="72"/>
      <c r="C10" s="72"/>
      <c r="D10" s="72"/>
      <c r="E10" s="72"/>
      <c r="F10" s="72"/>
      <c r="G10" s="72"/>
      <c r="H10" s="72"/>
    </row>
    <row r="11" spans="1:27" x14ac:dyDescent="0.2">
      <c r="B11" s="10">
        <v>1990</v>
      </c>
      <c r="C11" s="10">
        <v>1991</v>
      </c>
      <c r="D11" s="10">
        <v>1992</v>
      </c>
      <c r="E11" s="10">
        <v>1993</v>
      </c>
      <c r="F11" s="10">
        <v>1994</v>
      </c>
      <c r="G11" s="10">
        <v>1995</v>
      </c>
      <c r="H11" s="10">
        <v>1996</v>
      </c>
      <c r="I11" s="10">
        <v>1997</v>
      </c>
      <c r="J11" s="10">
        <v>1998</v>
      </c>
      <c r="K11" s="10">
        <v>1999</v>
      </c>
      <c r="L11" s="10">
        <v>2000</v>
      </c>
      <c r="M11" s="10">
        <v>2001</v>
      </c>
      <c r="N11" s="10">
        <v>2002</v>
      </c>
      <c r="O11" s="10">
        <v>2003</v>
      </c>
      <c r="P11" s="10">
        <v>2004</v>
      </c>
      <c r="Q11" s="10">
        <v>2005</v>
      </c>
      <c r="R11" s="10">
        <v>2006</v>
      </c>
      <c r="S11" s="10">
        <v>2007</v>
      </c>
      <c r="T11" s="10">
        <v>2008</v>
      </c>
      <c r="U11" s="10">
        <v>2009</v>
      </c>
      <c r="V11" s="10">
        <v>2010</v>
      </c>
      <c r="W11" s="10">
        <v>2011</v>
      </c>
      <c r="X11" s="10">
        <v>2012</v>
      </c>
      <c r="Y11" s="10">
        <v>2013</v>
      </c>
      <c r="Z11" s="10">
        <v>2014</v>
      </c>
      <c r="AA11" s="10">
        <v>2015</v>
      </c>
    </row>
    <row r="12" spans="1:27" x14ac:dyDescent="0.2">
      <c r="A12" s="3" t="s">
        <v>18</v>
      </c>
      <c r="B12" s="19">
        <v>267632</v>
      </c>
      <c r="C12" s="19">
        <v>288974</v>
      </c>
      <c r="D12" s="19">
        <v>305266</v>
      </c>
      <c r="E12" s="19">
        <v>323252</v>
      </c>
      <c r="F12" s="19">
        <v>352260</v>
      </c>
      <c r="G12" s="19">
        <v>389721</v>
      </c>
      <c r="H12" s="19">
        <v>413490</v>
      </c>
      <c r="I12" s="19">
        <v>424505</v>
      </c>
      <c r="J12" s="19">
        <v>446584</v>
      </c>
      <c r="K12" s="19">
        <v>480430</v>
      </c>
      <c r="L12" s="19">
        <v>507216</v>
      </c>
      <c r="M12" s="19">
        <v>522537</v>
      </c>
      <c r="N12" s="19">
        <v>545674</v>
      </c>
      <c r="O12" s="19">
        <v>559264</v>
      </c>
      <c r="P12" s="19">
        <v>591373</v>
      </c>
      <c r="Q12" s="19">
        <v>631757</v>
      </c>
      <c r="R12" s="19">
        <v>690587</v>
      </c>
      <c r="S12" s="19">
        <v>739343</v>
      </c>
      <c r="T12" s="19">
        <v>777039</v>
      </c>
      <c r="U12" s="19">
        <v>830594</v>
      </c>
      <c r="V12" s="19">
        <v>861591</v>
      </c>
      <c r="W12" s="19">
        <v>937199</v>
      </c>
      <c r="X12" s="19">
        <v>998114</v>
      </c>
      <c r="Y12" s="19">
        <v>1002257</v>
      </c>
      <c r="Z12" s="19">
        <v>1068943</v>
      </c>
      <c r="AA12" s="27">
        <f>TREND(X12:Z12,X11:Z11,AA11,TRUE)</f>
        <v>1093933.6666666716</v>
      </c>
    </row>
    <row r="13" spans="1:27" x14ac:dyDescent="0.2">
      <c r="A13" t="s">
        <v>8</v>
      </c>
      <c r="B13" s="71" t="s">
        <v>9</v>
      </c>
      <c r="C13" s="71"/>
      <c r="D13" s="71"/>
      <c r="E13" s="71"/>
      <c r="F13" s="71"/>
    </row>
    <row r="14" spans="1:27" x14ac:dyDescent="0.2">
      <c r="B14" s="71"/>
      <c r="C14" s="71"/>
      <c r="D14" s="71"/>
      <c r="E14" s="71"/>
      <c r="F14" s="71"/>
    </row>
    <row r="17" spans="1:42" x14ac:dyDescent="0.2">
      <c r="A17" s="3" t="s">
        <v>16</v>
      </c>
    </row>
    <row r="18" spans="1:42" x14ac:dyDescent="0.2">
      <c r="B18" s="10">
        <v>1990</v>
      </c>
      <c r="C18" s="10">
        <v>1991</v>
      </c>
      <c r="D18" s="10">
        <v>1992</v>
      </c>
      <c r="E18" s="10">
        <v>1993</v>
      </c>
      <c r="F18" s="10">
        <v>1994</v>
      </c>
      <c r="G18" s="10">
        <v>1995</v>
      </c>
      <c r="H18" s="10">
        <v>1996</v>
      </c>
      <c r="I18" s="10">
        <v>1997</v>
      </c>
      <c r="J18" s="10">
        <v>1998</v>
      </c>
      <c r="K18" s="10">
        <v>1999</v>
      </c>
      <c r="L18" s="10">
        <v>2000</v>
      </c>
      <c r="M18" s="10">
        <v>2001</v>
      </c>
      <c r="N18" s="10">
        <v>2002</v>
      </c>
      <c r="O18" s="10">
        <v>2003</v>
      </c>
      <c r="P18" s="10">
        <v>2004</v>
      </c>
      <c r="Q18" s="10">
        <v>2005</v>
      </c>
      <c r="R18" s="10">
        <v>2006</v>
      </c>
      <c r="S18" s="10">
        <v>2007</v>
      </c>
      <c r="T18" s="10">
        <v>2008</v>
      </c>
      <c r="U18" s="10">
        <v>2009</v>
      </c>
      <c r="V18" s="10">
        <v>2010</v>
      </c>
      <c r="W18" s="10">
        <v>2011</v>
      </c>
      <c r="X18" s="10">
        <v>2012</v>
      </c>
      <c r="Y18" s="10">
        <v>2013</v>
      </c>
      <c r="Z18" s="10">
        <v>2014</v>
      </c>
      <c r="AA18" s="10">
        <v>2015</v>
      </c>
      <c r="AB18" s="10">
        <v>2016</v>
      </c>
      <c r="AC18" s="10">
        <v>2017</v>
      </c>
      <c r="AD18" s="10">
        <v>2018</v>
      </c>
      <c r="AE18" s="10">
        <v>2019</v>
      </c>
      <c r="AF18" s="10">
        <v>2020</v>
      </c>
      <c r="AG18" s="10">
        <v>2021</v>
      </c>
      <c r="AH18" s="10">
        <v>2022</v>
      </c>
      <c r="AI18" s="10">
        <v>2023</v>
      </c>
      <c r="AJ18" s="10">
        <v>2024</v>
      </c>
      <c r="AK18" s="10">
        <v>2025</v>
      </c>
      <c r="AL18" s="10">
        <v>2026</v>
      </c>
      <c r="AM18" s="10">
        <v>2027</v>
      </c>
      <c r="AN18" s="10">
        <v>2028</v>
      </c>
      <c r="AO18" s="10">
        <v>2029</v>
      </c>
      <c r="AP18" s="10">
        <v>2030</v>
      </c>
    </row>
    <row r="19" spans="1:42" x14ac:dyDescent="0.2">
      <c r="A19" s="1" t="s">
        <v>0</v>
      </c>
      <c r="B19" s="18">
        <f>B12*B3/100</f>
        <v>60431.305599999992</v>
      </c>
      <c r="C19" s="18">
        <f t="shared" ref="C19:AA19" si="20">C12*C3/100</f>
        <v>69223.721699999995</v>
      </c>
      <c r="D19" s="18">
        <f t="shared" si="20"/>
        <v>77323.877799999987</v>
      </c>
      <c r="E19" s="18">
        <f t="shared" si="20"/>
        <v>82733.116879999987</v>
      </c>
      <c r="F19" s="18">
        <f t="shared" si="20"/>
        <v>91087.390799999979</v>
      </c>
      <c r="G19" s="18">
        <f t="shared" si="20"/>
        <v>101802.91962</v>
      </c>
      <c r="H19" s="18">
        <f t="shared" si="20"/>
        <v>109103.47139999998</v>
      </c>
      <c r="I19" s="18">
        <f t="shared" si="20"/>
        <v>113130.5825</v>
      </c>
      <c r="J19" s="18">
        <f t="shared" si="20"/>
        <v>114682.77119999999</v>
      </c>
      <c r="K19" s="18">
        <f t="shared" si="20"/>
        <v>118714.25300000001</v>
      </c>
      <c r="L19" s="18">
        <f t="shared" si="20"/>
        <v>120413.07840000001</v>
      </c>
      <c r="M19" s="18">
        <f t="shared" si="20"/>
        <v>118981.67490000003</v>
      </c>
      <c r="N19" s="18">
        <f t="shared" si="20"/>
        <v>118956.93200000002</v>
      </c>
      <c r="O19" s="18">
        <f t="shared" si="20"/>
        <v>118608.70912</v>
      </c>
      <c r="P19" s="18">
        <f t="shared" si="20"/>
        <v>121917.45768000001</v>
      </c>
      <c r="Q19" s="18">
        <f t="shared" si="20"/>
        <v>126503.02168000003</v>
      </c>
      <c r="R19" s="18">
        <f t="shared" si="20"/>
        <v>134194.86584000004</v>
      </c>
      <c r="S19" s="18">
        <f t="shared" si="20"/>
        <v>139292.2212</v>
      </c>
      <c r="T19" s="18">
        <f t="shared" si="20"/>
        <v>145011.01818000001</v>
      </c>
      <c r="U19" s="18">
        <f t="shared" si="20"/>
        <v>153526.99495999998</v>
      </c>
      <c r="V19" s="18">
        <f t="shared" si="20"/>
        <v>157722.84845999998</v>
      </c>
      <c r="W19" s="18">
        <f t="shared" si="20"/>
        <v>169895.43471999996</v>
      </c>
      <c r="X19" s="18">
        <f t="shared" si="20"/>
        <v>179161.46300000002</v>
      </c>
      <c r="Y19" s="18">
        <f t="shared" si="20"/>
        <v>179303.77730000002</v>
      </c>
      <c r="Z19" s="18">
        <f t="shared" si="20"/>
        <v>194440.7317</v>
      </c>
      <c r="AA19" s="18">
        <f t="shared" si="20"/>
        <v>201830.76150000092</v>
      </c>
      <c r="AB19" s="51">
        <f>GROWTH(B19:AA19,B18:AA18,AB18,TRUE)</f>
        <v>206305.70321503337</v>
      </c>
      <c r="AC19" s="51">
        <f t="shared" ref="AC19:AP19" si="21">GROWTH(C19:AB19,C18:AB18,AC18,TRUE)</f>
        <v>210461.810023789</v>
      </c>
      <c r="AD19" s="51">
        <f t="shared" si="21"/>
        <v>215440.90472230871</v>
      </c>
      <c r="AE19" s="51">
        <f t="shared" si="21"/>
        <v>221170.93105906915</v>
      </c>
      <c r="AF19" s="51">
        <f t="shared" si="21"/>
        <v>227145.37734801971</v>
      </c>
      <c r="AG19" s="51">
        <f t="shared" si="21"/>
        <v>234055.0865674775</v>
      </c>
      <c r="AH19" s="51">
        <f t="shared" si="21"/>
        <v>242567.52473732329</v>
      </c>
      <c r="AI19" s="51">
        <f t="shared" si="21"/>
        <v>252341.10107657147</v>
      </c>
      <c r="AJ19" s="51">
        <f t="shared" si="21"/>
        <v>262987.90663313773</v>
      </c>
      <c r="AK19" s="51">
        <f t="shared" si="21"/>
        <v>274118.63364946371</v>
      </c>
      <c r="AL19" s="51">
        <f t="shared" si="21"/>
        <v>286204.58851876389</v>
      </c>
      <c r="AM19" s="51">
        <f t="shared" si="21"/>
        <v>298864.44210384786</v>
      </c>
      <c r="AN19" s="51">
        <f t="shared" si="21"/>
        <v>311347.659831019</v>
      </c>
      <c r="AO19" s="51">
        <f t="shared" si="21"/>
        <v>323631.64743493102</v>
      </c>
      <c r="AP19" s="51">
        <f t="shared" si="21"/>
        <v>335331.98912237416</v>
      </c>
    </row>
    <row r="20" spans="1:42" x14ac:dyDescent="0.2">
      <c r="A20" s="1" t="s">
        <v>1</v>
      </c>
      <c r="B20" s="18">
        <f>B12*B4/100</f>
        <v>137696.66399999999</v>
      </c>
      <c r="C20" s="18">
        <f>C12*C4/100</f>
        <v>143605.6293</v>
      </c>
      <c r="D20" s="18">
        <f t="shared" ref="D20:AA20" si="22">D12*D4/100</f>
        <v>146344.52039999998</v>
      </c>
      <c r="E20" s="18">
        <f t="shared" si="22"/>
        <v>152529.68872000001</v>
      </c>
      <c r="F20" s="18">
        <f t="shared" si="22"/>
        <v>163561.36319999999</v>
      </c>
      <c r="G20" s="18">
        <f t="shared" si="22"/>
        <v>178016.75838000004</v>
      </c>
      <c r="H20" s="18">
        <f t="shared" si="22"/>
        <v>185756.2476</v>
      </c>
      <c r="I20" s="18">
        <f t="shared" si="22"/>
        <v>187503.8585</v>
      </c>
      <c r="J20" s="18">
        <f t="shared" si="22"/>
        <v>195827.08400000003</v>
      </c>
      <c r="K20" s="18">
        <f t="shared" si="22"/>
        <v>209131.17900000003</v>
      </c>
      <c r="L20" s="18">
        <f t="shared" si="22"/>
        <v>219168.0336</v>
      </c>
      <c r="M20" s="18">
        <f t="shared" si="22"/>
        <v>224116.11929999999</v>
      </c>
      <c r="N20" s="18">
        <f t="shared" si="22"/>
        <v>232293.42180000001</v>
      </c>
      <c r="O20" s="18">
        <f t="shared" si="22"/>
        <v>241792.19776000001</v>
      </c>
      <c r="P20" s="18">
        <f t="shared" si="22"/>
        <v>259600.91954000003</v>
      </c>
      <c r="Q20" s="18">
        <f t="shared" si="22"/>
        <v>281523.55434000003</v>
      </c>
      <c r="R20" s="18">
        <f t="shared" si="22"/>
        <v>312324.87662000005</v>
      </c>
      <c r="S20" s="18">
        <f t="shared" si="22"/>
        <v>339284.50270000001</v>
      </c>
      <c r="T20" s="18">
        <f t="shared" si="22"/>
        <v>354998.03753999999</v>
      </c>
      <c r="U20" s="18">
        <f t="shared" si="22"/>
        <v>377770.76308</v>
      </c>
      <c r="V20" s="18">
        <f t="shared" si="22"/>
        <v>390111.17298000003</v>
      </c>
      <c r="W20" s="18">
        <f t="shared" si="22"/>
        <v>422433.07725999993</v>
      </c>
      <c r="X20" s="18">
        <f t="shared" si="22"/>
        <v>447853.75179999997</v>
      </c>
      <c r="Y20" s="18">
        <f t="shared" si="22"/>
        <v>445002.10799999995</v>
      </c>
      <c r="Z20" s="18">
        <f t="shared" si="22"/>
        <v>461462.69310000003</v>
      </c>
      <c r="AA20" s="18">
        <f t="shared" si="22"/>
        <v>460546.07366666873</v>
      </c>
      <c r="AB20" s="51">
        <f>GROWTH(B20:AA20,B18:AA18,AB18,TRUE)</f>
        <v>519968.03662075289</v>
      </c>
      <c r="AC20" s="51">
        <f t="shared" ref="AC20:AP20" si="23">GROWTH(C20:AB20,C18:AB18,AC18,TRUE)</f>
        <v>550274.77701283107</v>
      </c>
      <c r="AD20" s="51">
        <f t="shared" si="23"/>
        <v>582388.9551569263</v>
      </c>
      <c r="AE20" s="51">
        <f t="shared" si="23"/>
        <v>615117.4012610123</v>
      </c>
      <c r="AF20" s="51">
        <f t="shared" si="23"/>
        <v>649184.09037985129</v>
      </c>
      <c r="AG20" s="51">
        <f t="shared" si="23"/>
        <v>686122.6910275988</v>
      </c>
      <c r="AH20" s="51">
        <f t="shared" si="23"/>
        <v>727403.91105516779</v>
      </c>
      <c r="AI20" s="51">
        <f t="shared" si="23"/>
        <v>771323.9334444328</v>
      </c>
      <c r="AJ20" s="51">
        <f t="shared" si="23"/>
        <v>815629.93774864986</v>
      </c>
      <c r="AK20" s="51">
        <f t="shared" si="23"/>
        <v>861859.65751378099</v>
      </c>
      <c r="AL20" s="51">
        <f t="shared" si="23"/>
        <v>911597.91469679179</v>
      </c>
      <c r="AM20" s="51">
        <f t="shared" si="23"/>
        <v>963819.47436507035</v>
      </c>
      <c r="AN20" s="51">
        <f t="shared" si="23"/>
        <v>1016321.7628067274</v>
      </c>
      <c r="AO20" s="51">
        <f t="shared" si="23"/>
        <v>1069310.0849127618</v>
      </c>
      <c r="AP20" s="51">
        <f t="shared" si="23"/>
        <v>1122417.7573696675</v>
      </c>
    </row>
    <row r="21" spans="1:42" x14ac:dyDescent="0.2">
      <c r="A21" s="1" t="s">
        <v>2</v>
      </c>
      <c r="B21" s="18">
        <f>B12*B5/100</f>
        <v>40573.011200000001</v>
      </c>
      <c r="C21" s="18">
        <f t="shared" ref="C21:AA21" si="24">C12*C5/100</f>
        <v>44314.162900000003</v>
      </c>
      <c r="D21" s="18">
        <f t="shared" si="24"/>
        <v>47346.756600000001</v>
      </c>
      <c r="E21" s="18">
        <f t="shared" si="24"/>
        <v>51442.323279999997</v>
      </c>
      <c r="F21" s="18">
        <f t="shared" si="24"/>
        <v>57481.786800000009</v>
      </c>
      <c r="G21" s="18">
        <f t="shared" si="24"/>
        <v>65169.14562000001</v>
      </c>
      <c r="H21" s="18">
        <f t="shared" si="24"/>
        <v>70814.297399999996</v>
      </c>
      <c r="I21" s="18">
        <f t="shared" si="24"/>
        <v>74415.726500000004</v>
      </c>
      <c r="J21" s="18">
        <f t="shared" si="24"/>
        <v>81626.623520000008</v>
      </c>
      <c r="K21" s="18">
        <f t="shared" si="24"/>
        <v>91406.611800000013</v>
      </c>
      <c r="L21" s="18">
        <f t="shared" si="24"/>
        <v>100296.89184000003</v>
      </c>
      <c r="M21" s="18">
        <f t="shared" si="24"/>
        <v>107235.04314000002</v>
      </c>
      <c r="N21" s="18">
        <f t="shared" si="24"/>
        <v>116064.85980000001</v>
      </c>
      <c r="O21" s="18">
        <f t="shared" si="24"/>
        <v>118787.67359999999</v>
      </c>
      <c r="P21" s="18">
        <f t="shared" si="24"/>
        <v>125430.21329999999</v>
      </c>
      <c r="Q21" s="18">
        <f t="shared" si="24"/>
        <v>133806.13259999998</v>
      </c>
      <c r="R21" s="18">
        <f t="shared" si="24"/>
        <v>146059.15049999996</v>
      </c>
      <c r="S21" s="18">
        <f t="shared" si="24"/>
        <v>156149.24160000001</v>
      </c>
      <c r="T21" s="18">
        <f t="shared" si="24"/>
        <v>165151.86906000003</v>
      </c>
      <c r="U21" s="18">
        <f t="shared" si="24"/>
        <v>177647.44472000003</v>
      </c>
      <c r="V21" s="18">
        <f t="shared" si="24"/>
        <v>185431.61502</v>
      </c>
      <c r="W21" s="18">
        <f t="shared" si="24"/>
        <v>202959.81544000003</v>
      </c>
      <c r="X21" s="18">
        <f t="shared" si="24"/>
        <v>217489.04059999998</v>
      </c>
      <c r="Y21" s="18">
        <f t="shared" si="24"/>
        <v>223403.08529999998</v>
      </c>
      <c r="Z21" s="18">
        <f t="shared" si="24"/>
        <v>245322.41849999997</v>
      </c>
      <c r="AA21" s="18">
        <f t="shared" si="24"/>
        <v>257402.59176666784</v>
      </c>
      <c r="AB21" s="51">
        <f>GROWTH(B21:AA21,B18:AA18,AB18,TRUE)</f>
        <v>296396.32007170282</v>
      </c>
      <c r="AC21" s="51">
        <f t="shared" ref="AC21:AP21" si="25">GROWTH(C21:AB21,C18:AB18,AC18,TRUE)</f>
        <v>316681.56205864408</v>
      </c>
      <c r="AD21" s="51">
        <f t="shared" si="25"/>
        <v>338161.33642622549</v>
      </c>
      <c r="AE21" s="51">
        <f t="shared" si="25"/>
        <v>360249.03465617547</v>
      </c>
      <c r="AF21" s="51">
        <f t="shared" si="25"/>
        <v>383293.83133450476</v>
      </c>
      <c r="AG21" s="51">
        <f t="shared" si="25"/>
        <v>408276.7058961562</v>
      </c>
      <c r="AH21" s="51">
        <f t="shared" si="25"/>
        <v>436200.83488717908</v>
      </c>
      <c r="AI21" s="51">
        <f t="shared" si="25"/>
        <v>466219.99526783935</v>
      </c>
      <c r="AJ21" s="51">
        <f t="shared" si="25"/>
        <v>497175.7205589423</v>
      </c>
      <c r="AK21" s="51">
        <f t="shared" si="25"/>
        <v>530674.80675786291</v>
      </c>
      <c r="AL21" s="51">
        <f t="shared" si="25"/>
        <v>568191.38676263846</v>
      </c>
      <c r="AM21" s="51">
        <f t="shared" si="25"/>
        <v>609742.921418246</v>
      </c>
      <c r="AN21" s="51">
        <f t="shared" si="25"/>
        <v>654733.59124074306</v>
      </c>
      <c r="AO21" s="51">
        <f t="shared" si="25"/>
        <v>704258.64589837019</v>
      </c>
      <c r="AP21" s="51">
        <f t="shared" si="25"/>
        <v>755446.37440560944</v>
      </c>
    </row>
    <row r="22" spans="1:42" x14ac:dyDescent="0.2">
      <c r="A22" s="2" t="s">
        <v>3</v>
      </c>
      <c r="B22" s="18">
        <f>B12*B6/100</f>
        <v>13087.2048</v>
      </c>
      <c r="C22" s="18">
        <f t="shared" ref="C22:AA22" si="26">C12*C6/100</f>
        <v>14578.738300000001</v>
      </c>
      <c r="D22" s="18">
        <f>D12*D6/100</f>
        <v>15873.832</v>
      </c>
      <c r="E22" s="18">
        <f t="shared" si="26"/>
        <v>17041.845440000001</v>
      </c>
      <c r="F22" s="18">
        <f t="shared" si="26"/>
        <v>18824.774400000002</v>
      </c>
      <c r="G22" s="18">
        <f t="shared" si="26"/>
        <v>21107.289360000002</v>
      </c>
      <c r="H22" s="18">
        <f t="shared" si="26"/>
        <v>22692.331200000001</v>
      </c>
      <c r="I22" s="18">
        <f t="shared" si="26"/>
        <v>23602.477999999999</v>
      </c>
      <c r="J22" s="18">
        <f t="shared" si="26"/>
        <v>25616.058239999998</v>
      </c>
      <c r="K22" s="18">
        <f t="shared" si="26"/>
        <v>28403.0216</v>
      </c>
      <c r="L22" s="18">
        <f t="shared" si="26"/>
        <v>30879.310079999999</v>
      </c>
      <c r="M22" s="18">
        <f t="shared" si="26"/>
        <v>32731.717680000002</v>
      </c>
      <c r="N22" s="18">
        <f t="shared" si="26"/>
        <v>35141.405599999998</v>
      </c>
      <c r="O22" s="18">
        <f t="shared" si="26"/>
        <v>37370.020480000007</v>
      </c>
      <c r="P22" s="18">
        <f t="shared" si="26"/>
        <v>40946.666519999999</v>
      </c>
      <c r="Q22" s="18">
        <f t="shared" si="26"/>
        <v>45271.706620000004</v>
      </c>
      <c r="R22" s="18">
        <f t="shared" si="26"/>
        <v>51158.684960000006</v>
      </c>
      <c r="S22" s="18">
        <f t="shared" si="26"/>
        <v>56559.739500000003</v>
      </c>
      <c r="T22" s="18">
        <f t="shared" si="26"/>
        <v>60500.256540000002</v>
      </c>
      <c r="U22" s="18">
        <f t="shared" si="26"/>
        <v>65799.65668</v>
      </c>
      <c r="V22" s="18">
        <f t="shared" si="26"/>
        <v>69427.002779999995</v>
      </c>
      <c r="W22" s="18">
        <f t="shared" si="26"/>
        <v>76794.086059999987</v>
      </c>
      <c r="X22" s="18">
        <f t="shared" si="26"/>
        <v>83142.896200000003</v>
      </c>
      <c r="Y22" s="18">
        <f t="shared" si="26"/>
        <v>88499.29310000001</v>
      </c>
      <c r="Z22" s="18">
        <f t="shared" si="26"/>
        <v>94066.983999999997</v>
      </c>
      <c r="AA22" s="18">
        <f t="shared" si="26"/>
        <v>95937.982566667109</v>
      </c>
      <c r="AB22" s="51">
        <f>GROWTH(B22:AA22,B18:AA18,AB18,TRUE)</f>
        <v>112656.3000698478</v>
      </c>
      <c r="AC22" s="51">
        <f t="shared" ref="AC22:AP22" si="27">GROWTH(C22:AB22,C18:AB18,AC18,TRUE)</f>
        <v>121914.20748590765</v>
      </c>
      <c r="AD22" s="51">
        <f t="shared" si="27"/>
        <v>132141.20636622928</v>
      </c>
      <c r="AE22" s="51">
        <f t="shared" si="27"/>
        <v>143243.4951925175</v>
      </c>
      <c r="AF22" s="51">
        <f t="shared" si="27"/>
        <v>155118.19626028044</v>
      </c>
      <c r="AG22" s="51">
        <f t="shared" si="27"/>
        <v>168174.5924561017</v>
      </c>
      <c r="AH22" s="51">
        <f t="shared" si="27"/>
        <v>182845.79196982787</v>
      </c>
      <c r="AI22" s="51">
        <f t="shared" si="27"/>
        <v>198786.66765169241</v>
      </c>
      <c r="AJ22" s="51">
        <f t="shared" si="27"/>
        <v>215467.06905967963</v>
      </c>
      <c r="AK22" s="51">
        <f t="shared" si="27"/>
        <v>233495.72838344856</v>
      </c>
      <c r="AL22" s="51">
        <f t="shared" si="27"/>
        <v>253438.65132678408</v>
      </c>
      <c r="AM22" s="51">
        <f t="shared" si="27"/>
        <v>275185.17084655969</v>
      </c>
      <c r="AN22" s="51">
        <f t="shared" si="27"/>
        <v>298276.14315131056</v>
      </c>
      <c r="AO22" s="51">
        <f t="shared" si="27"/>
        <v>322937.30101224419</v>
      </c>
      <c r="AP22" s="51">
        <f t="shared" si="27"/>
        <v>348861.21264591819</v>
      </c>
    </row>
    <row r="23" spans="1:42" x14ac:dyDescent="0.2">
      <c r="A23" s="17" t="s">
        <v>80</v>
      </c>
      <c r="B23" s="18">
        <f>B12*B7/100</f>
        <v>10250.3056</v>
      </c>
      <c r="C23" s="18">
        <f t="shared" ref="C23:AA23" si="28">C12*C7/100</f>
        <v>11400.024299999999</v>
      </c>
      <c r="D23" s="18">
        <f t="shared" si="28"/>
        <v>12393.7996</v>
      </c>
      <c r="E23" s="18">
        <f t="shared" si="28"/>
        <v>13091.705999999998</v>
      </c>
      <c r="F23" s="18">
        <f t="shared" si="28"/>
        <v>14231.303999999998</v>
      </c>
      <c r="G23" s="18">
        <f t="shared" si="28"/>
        <v>15705.756300000001</v>
      </c>
      <c r="H23" s="18">
        <f t="shared" si="28"/>
        <v>16622.298000000003</v>
      </c>
      <c r="I23" s="18">
        <f t="shared" si="28"/>
        <v>17022.6505</v>
      </c>
      <c r="J23" s="18">
        <f t="shared" si="28"/>
        <v>19462.130720000001</v>
      </c>
      <c r="K23" s="18">
        <f t="shared" si="28"/>
        <v>22609.035799999998</v>
      </c>
      <c r="L23" s="18">
        <f t="shared" si="28"/>
        <v>25634.696639999998</v>
      </c>
      <c r="M23" s="18">
        <f t="shared" si="28"/>
        <v>28227.44874</v>
      </c>
      <c r="N23" s="18">
        <f t="shared" si="28"/>
        <v>31376.255000000001</v>
      </c>
      <c r="O23" s="18">
        <f t="shared" si="28"/>
        <v>30703.593600000004</v>
      </c>
      <c r="P23" s="18">
        <f t="shared" si="28"/>
        <v>30928.8079</v>
      </c>
      <c r="Q23" s="18">
        <f t="shared" si="28"/>
        <v>31398.322900000006</v>
      </c>
      <c r="R23" s="18">
        <f t="shared" si="28"/>
        <v>32526.647700000005</v>
      </c>
      <c r="S23" s="18">
        <f t="shared" si="28"/>
        <v>32900.763500000001</v>
      </c>
      <c r="T23" s="18">
        <f t="shared" si="28"/>
        <v>35821.497900000002</v>
      </c>
      <c r="U23" s="18">
        <f t="shared" si="28"/>
        <v>39619.3338</v>
      </c>
      <c r="V23" s="18">
        <f t="shared" si="28"/>
        <v>42476.436300000008</v>
      </c>
      <c r="W23" s="18">
        <f t="shared" si="28"/>
        <v>47703.429100000008</v>
      </c>
      <c r="X23" s="18">
        <f t="shared" si="28"/>
        <v>52400.985000000001</v>
      </c>
      <c r="Y23" s="18">
        <f t="shared" si="28"/>
        <v>44901.113600000004</v>
      </c>
      <c r="Z23" s="18">
        <f t="shared" si="28"/>
        <v>54943.670199999993</v>
      </c>
      <c r="AA23" s="18">
        <f t="shared" si="28"/>
        <v>58744.237900000269</v>
      </c>
      <c r="AB23" s="51">
        <f>GROWTH(B23:AA23,B18:AA18,AB18,TRUE)</f>
        <v>65213.787547061933</v>
      </c>
      <c r="AC23" s="51">
        <f t="shared" ref="AC23:AP23" si="29">GROWTH(C23:AB23,C18:AB18,AC18,TRUE)</f>
        <v>69140.566261957254</v>
      </c>
      <c r="AD23" s="51">
        <f t="shared" si="29"/>
        <v>73382.566520840497</v>
      </c>
      <c r="AE23" s="51">
        <f t="shared" si="29"/>
        <v>77863.243887229633</v>
      </c>
      <c r="AF23" s="51">
        <f t="shared" si="29"/>
        <v>82404.710989357074</v>
      </c>
      <c r="AG23" s="51">
        <f t="shared" si="29"/>
        <v>87163.454707996629</v>
      </c>
      <c r="AH23" s="51">
        <f t="shared" si="29"/>
        <v>92281.829567373381</v>
      </c>
      <c r="AI23" s="51">
        <f t="shared" si="29"/>
        <v>97490.536282566361</v>
      </c>
      <c r="AJ23" s="51">
        <f t="shared" si="29"/>
        <v>102446.295375737</v>
      </c>
      <c r="AK23" s="51">
        <f t="shared" si="29"/>
        <v>107983.55154404549</v>
      </c>
      <c r="AL23" s="51">
        <f t="shared" si="29"/>
        <v>114468.44290211805</v>
      </c>
      <c r="AM23" s="51">
        <f t="shared" si="29"/>
        <v>121994.86604369685</v>
      </c>
      <c r="AN23" s="51">
        <f t="shared" si="29"/>
        <v>130574.49572241903</v>
      </c>
      <c r="AO23" s="51">
        <f t="shared" si="29"/>
        <v>140606.52836821406</v>
      </c>
      <c r="AP23" s="51">
        <f t="shared" si="29"/>
        <v>150859.00320037981</v>
      </c>
    </row>
    <row r="24" spans="1:42" x14ac:dyDescent="0.2">
      <c r="A24" s="17" t="s">
        <v>78</v>
      </c>
      <c r="B24" s="35">
        <f>SUM(B19:B23)</f>
        <v>262038.49119999999</v>
      </c>
      <c r="C24" s="35">
        <f t="shared" ref="C24:AP24" si="30">SUM(C19:C23)</f>
        <v>283122.27649999998</v>
      </c>
      <c r="D24" s="35">
        <f t="shared" si="30"/>
        <v>299282.78639999998</v>
      </c>
      <c r="E24" s="35">
        <f t="shared" si="30"/>
        <v>316838.68031999998</v>
      </c>
      <c r="F24" s="35">
        <f t="shared" si="30"/>
        <v>345186.61919999996</v>
      </c>
      <c r="G24" s="35">
        <f t="shared" si="30"/>
        <v>381801.8692800001</v>
      </c>
      <c r="H24" s="35">
        <f t="shared" si="30"/>
        <v>404988.64559999999</v>
      </c>
      <c r="I24" s="35">
        <f t="shared" si="30"/>
        <v>415675.29599999997</v>
      </c>
      <c r="J24" s="35">
        <f t="shared" si="30"/>
        <v>437214.66768000001</v>
      </c>
      <c r="K24" s="35">
        <f t="shared" si="30"/>
        <v>470264.10120000003</v>
      </c>
      <c r="L24" s="35">
        <f t="shared" si="30"/>
        <v>496392.01056000002</v>
      </c>
      <c r="M24" s="35">
        <f t="shared" si="30"/>
        <v>511292.00376000005</v>
      </c>
      <c r="N24" s="35">
        <f t="shared" si="30"/>
        <v>533832.87419999996</v>
      </c>
      <c r="O24" s="35">
        <f t="shared" si="30"/>
        <v>547262.19455999997</v>
      </c>
      <c r="P24" s="35">
        <f t="shared" si="30"/>
        <v>578824.06494000007</v>
      </c>
      <c r="Q24" s="35">
        <f t="shared" si="30"/>
        <v>618502.73814000003</v>
      </c>
      <c r="R24" s="35">
        <f t="shared" si="30"/>
        <v>676264.22562000004</v>
      </c>
      <c r="S24" s="35">
        <f t="shared" si="30"/>
        <v>724186.46849999996</v>
      </c>
      <c r="T24" s="35">
        <f t="shared" si="30"/>
        <v>761482.67921999993</v>
      </c>
      <c r="U24" s="35">
        <f t="shared" si="30"/>
        <v>814364.19324000005</v>
      </c>
      <c r="V24" s="35">
        <f t="shared" si="30"/>
        <v>845169.07554000011</v>
      </c>
      <c r="W24" s="35">
        <f t="shared" si="30"/>
        <v>919785.84257999994</v>
      </c>
      <c r="X24" s="35">
        <f t="shared" si="30"/>
        <v>980048.13659999985</v>
      </c>
      <c r="Y24" s="35">
        <f t="shared" si="30"/>
        <v>981109.37729999993</v>
      </c>
      <c r="Z24" s="35">
        <f t="shared" si="30"/>
        <v>1050236.4975000001</v>
      </c>
      <c r="AA24" s="35">
        <f t="shared" si="30"/>
        <v>1074461.6474000048</v>
      </c>
      <c r="AB24" s="52">
        <f t="shared" si="30"/>
        <v>1200540.1475243988</v>
      </c>
      <c r="AC24" s="52">
        <f t="shared" si="30"/>
        <v>1268472.9228431291</v>
      </c>
      <c r="AD24" s="52">
        <f t="shared" si="30"/>
        <v>1341514.9691925303</v>
      </c>
      <c r="AE24" s="52">
        <f t="shared" si="30"/>
        <v>1417644.1060560041</v>
      </c>
      <c r="AF24" s="52">
        <f t="shared" si="30"/>
        <v>1497146.2063120133</v>
      </c>
      <c r="AG24" s="52">
        <f t="shared" si="30"/>
        <v>1583792.5306553307</v>
      </c>
      <c r="AH24" s="52">
        <f t="shared" si="30"/>
        <v>1681299.8922168715</v>
      </c>
      <c r="AI24" s="52">
        <f t="shared" si="30"/>
        <v>1786162.2337231024</v>
      </c>
      <c r="AJ24" s="52">
        <f t="shared" si="30"/>
        <v>1893706.9293761463</v>
      </c>
      <c r="AK24" s="52">
        <f t="shared" si="30"/>
        <v>2008132.3778486019</v>
      </c>
      <c r="AL24" s="52">
        <f t="shared" si="30"/>
        <v>2133900.9842070965</v>
      </c>
      <c r="AM24" s="52">
        <f t="shared" si="30"/>
        <v>2269606.8747774204</v>
      </c>
      <c r="AN24" s="52">
        <f t="shared" si="30"/>
        <v>2411253.6527522192</v>
      </c>
      <c r="AO24" s="52">
        <f t="shared" si="30"/>
        <v>2560744.2076265211</v>
      </c>
      <c r="AP24" s="52">
        <f t="shared" si="30"/>
        <v>2712916.336743949</v>
      </c>
    </row>
    <row r="25" spans="1:42" x14ac:dyDescent="0.2">
      <c r="A25" s="73" t="s">
        <v>79</v>
      </c>
      <c r="B25" s="73"/>
      <c r="C25" s="73"/>
      <c r="D25" s="73"/>
      <c r="E25" s="73"/>
    </row>
    <row r="26" spans="1:42" x14ac:dyDescent="0.2">
      <c r="A26" s="73"/>
      <c r="B26" s="73"/>
      <c r="C26" s="73"/>
      <c r="D26" s="73"/>
      <c r="E26" s="73"/>
    </row>
    <row r="27" spans="1:42" x14ac:dyDescent="0.2">
      <c r="A27" s="73"/>
      <c r="B27" s="73"/>
      <c r="C27" s="73"/>
      <c r="D27" s="73"/>
      <c r="E27" s="73"/>
    </row>
    <row r="30" spans="1:42" x14ac:dyDescent="0.2">
      <c r="A30" t="s">
        <v>34</v>
      </c>
      <c r="B30">
        <v>1990</v>
      </c>
      <c r="C30">
        <v>1991</v>
      </c>
      <c r="D30">
        <v>1992</v>
      </c>
      <c r="E30">
        <v>1993</v>
      </c>
      <c r="F30">
        <v>1994</v>
      </c>
      <c r="G30">
        <v>1995</v>
      </c>
      <c r="H30">
        <v>1996</v>
      </c>
      <c r="I30">
        <v>1997</v>
      </c>
      <c r="J30">
        <v>1998</v>
      </c>
      <c r="K30">
        <v>1999</v>
      </c>
      <c r="L30">
        <v>2000</v>
      </c>
      <c r="M30">
        <v>2001</v>
      </c>
      <c r="N30">
        <v>2002</v>
      </c>
      <c r="O30">
        <v>2003</v>
      </c>
      <c r="P30">
        <v>2004</v>
      </c>
      <c r="Q30">
        <v>2005</v>
      </c>
      <c r="R30">
        <v>2006</v>
      </c>
      <c r="S30">
        <v>2007</v>
      </c>
      <c r="T30">
        <v>2008</v>
      </c>
      <c r="U30">
        <v>2009</v>
      </c>
      <c r="V30">
        <v>2010</v>
      </c>
      <c r="W30">
        <v>2011</v>
      </c>
      <c r="X30">
        <v>2012</v>
      </c>
      <c r="Y30">
        <v>2013</v>
      </c>
      <c r="Z30">
        <v>2014</v>
      </c>
      <c r="AA30">
        <v>2015</v>
      </c>
    </row>
    <row r="31" spans="1:42" x14ac:dyDescent="0.2">
      <c r="A31" t="s">
        <v>70</v>
      </c>
      <c r="B31" t="s">
        <v>50</v>
      </c>
    </row>
    <row r="32" spans="1:42" x14ac:dyDescent="0.2">
      <c r="A32" t="s">
        <v>76</v>
      </c>
      <c r="B32" s="29">
        <v>137696.65625</v>
      </c>
      <c r="C32" s="29">
        <v>143605.625</v>
      </c>
      <c r="D32" s="29">
        <v>146344.51563000001</v>
      </c>
      <c r="E32" s="29">
        <v>152529.6875</v>
      </c>
      <c r="F32" s="29">
        <v>163561.35938000001</v>
      </c>
      <c r="G32" s="29">
        <v>178016.76563000001</v>
      </c>
      <c r="H32" s="29">
        <v>185756.25</v>
      </c>
      <c r="I32" s="29">
        <v>187503.85938000001</v>
      </c>
      <c r="J32" s="29">
        <v>195827.07813000001</v>
      </c>
      <c r="K32" s="29">
        <v>209131.17188000001</v>
      </c>
      <c r="L32" s="29">
        <v>219168.03125</v>
      </c>
      <c r="M32" s="29">
        <v>224116.125</v>
      </c>
      <c r="N32" s="29">
        <v>232293.42188000001</v>
      </c>
      <c r="O32" s="29">
        <v>241792.20313000001</v>
      </c>
      <c r="P32" s="29">
        <v>259600.92188000001</v>
      </c>
      <c r="Q32" s="29">
        <v>281523.5625</v>
      </c>
      <c r="R32" s="29">
        <v>312324.875</v>
      </c>
      <c r="S32" s="29">
        <v>339284.5</v>
      </c>
      <c r="T32" s="29">
        <v>354998.03125</v>
      </c>
      <c r="U32" s="29">
        <v>377770.75</v>
      </c>
      <c r="V32" s="29">
        <v>390111.1875</v>
      </c>
      <c r="W32" s="29">
        <v>422433.0625</v>
      </c>
      <c r="X32" s="29">
        <v>447853.75</v>
      </c>
      <c r="Y32" s="29">
        <v>445002.09375</v>
      </c>
      <c r="Z32" s="29">
        <v>461462.6875</v>
      </c>
      <c r="AA32" s="29">
        <v>460546.0625</v>
      </c>
    </row>
    <row r="33" spans="1:27" x14ac:dyDescent="0.2">
      <c r="A33" t="s">
        <v>77</v>
      </c>
      <c r="B33" s="29">
        <v>137697</v>
      </c>
      <c r="C33" s="29">
        <v>137697</v>
      </c>
      <c r="D33" s="29">
        <v>129657.6875</v>
      </c>
      <c r="E33" s="29">
        <v>124069.82812999999</v>
      </c>
      <c r="F33" s="29">
        <v>118185.44531</v>
      </c>
      <c r="G33" s="29">
        <v>118015.14844</v>
      </c>
      <c r="H33" s="29">
        <v>121005.34375</v>
      </c>
      <c r="I33" s="29">
        <v>125946.52344</v>
      </c>
      <c r="J33" s="29">
        <v>133359.29688000001</v>
      </c>
      <c r="K33" s="29">
        <v>140136.89063000001</v>
      </c>
      <c r="L33" s="29">
        <v>147673.46875</v>
      </c>
      <c r="M33" s="29">
        <v>155000.89063000001</v>
      </c>
      <c r="N33" s="29">
        <v>165632.17188000001</v>
      </c>
      <c r="O33" s="29">
        <v>178528.82813000001</v>
      </c>
      <c r="P33" s="29">
        <v>192821.51563000001</v>
      </c>
      <c r="Q33" s="29">
        <v>212537.82813000001</v>
      </c>
      <c r="R33" s="29">
        <v>236496.23438000001</v>
      </c>
      <c r="S33" s="29">
        <v>262983.5</v>
      </c>
      <c r="T33" s="29">
        <v>302886.21875</v>
      </c>
      <c r="U33" s="29">
        <v>329627.4375</v>
      </c>
      <c r="V33" s="29">
        <v>355657.6875</v>
      </c>
      <c r="W33" s="29">
        <v>389768.5</v>
      </c>
      <c r="X33" s="29">
        <v>417741.4375</v>
      </c>
      <c r="Y33" s="29">
        <v>427999.53125</v>
      </c>
      <c r="Z33" s="29">
        <v>433369.5625</v>
      </c>
      <c r="AA33" s="29">
        <v>440507.0625</v>
      </c>
    </row>
    <row r="34" spans="1:27" x14ac:dyDescent="0.2">
      <c r="A34" t="s">
        <v>82</v>
      </c>
      <c r="B34" s="29">
        <f>B32/B33</f>
        <v>0.9999975035766937</v>
      </c>
      <c r="C34" s="29">
        <f t="shared" ref="C34:AA34" si="31">C32/C33</f>
        <v>1.0429103393683232</v>
      </c>
      <c r="D34" s="29">
        <f t="shared" si="31"/>
        <v>1.128699103398709</v>
      </c>
      <c r="E34" s="29">
        <f t="shared" si="31"/>
        <v>1.2293858208635531</v>
      </c>
      <c r="F34" s="29">
        <f t="shared" si="31"/>
        <v>1.3839382586491862</v>
      </c>
      <c r="G34" s="29">
        <f t="shared" si="31"/>
        <v>1.508423011648419</v>
      </c>
      <c r="H34" s="29">
        <f t="shared" si="31"/>
        <v>1.5351078245253116</v>
      </c>
      <c r="I34" s="29">
        <f t="shared" si="31"/>
        <v>1.4887577223941832</v>
      </c>
      <c r="J34" s="29">
        <f t="shared" si="31"/>
        <v>1.4684171460967588</v>
      </c>
      <c r="K34" s="29">
        <f t="shared" si="31"/>
        <v>1.4923348944009605</v>
      </c>
      <c r="L34" s="29">
        <f t="shared" si="31"/>
        <v>1.4841395215076507</v>
      </c>
      <c r="M34" s="29">
        <f t="shared" si="31"/>
        <v>1.445902175717066</v>
      </c>
      <c r="N34" s="29">
        <f t="shared" si="31"/>
        <v>1.4024655913363007</v>
      </c>
      <c r="O34" s="29">
        <f t="shared" si="31"/>
        <v>1.3543594368632346</v>
      </c>
      <c r="P34" s="29">
        <f t="shared" si="31"/>
        <v>1.3463275663600798</v>
      </c>
      <c r="Q34" s="29">
        <f t="shared" si="31"/>
        <v>1.3245809697829625</v>
      </c>
      <c r="R34" s="29">
        <f t="shared" si="31"/>
        <v>1.320633606783604</v>
      </c>
      <c r="S34" s="29">
        <f t="shared" si="31"/>
        <v>1.2901360731756935</v>
      </c>
      <c r="T34" s="29">
        <f t="shared" si="31"/>
        <v>1.1720507876359099</v>
      </c>
      <c r="U34" s="29">
        <f t="shared" si="31"/>
        <v>1.1460537170847618</v>
      </c>
      <c r="V34" s="29">
        <f t="shared" si="31"/>
        <v>1.0968726424618616</v>
      </c>
      <c r="W34" s="29">
        <f t="shared" si="31"/>
        <v>1.0838050342703425</v>
      </c>
      <c r="X34" s="29">
        <f t="shared" si="31"/>
        <v>1.0720836139220686</v>
      </c>
      <c r="Y34" s="29">
        <f t="shared" si="31"/>
        <v>1.0397256568257047</v>
      </c>
      <c r="Z34" s="29">
        <f t="shared" si="31"/>
        <v>1.0648248687285231</v>
      </c>
      <c r="AA34" s="29">
        <f t="shared" si="31"/>
        <v>1.0454907575971044</v>
      </c>
    </row>
    <row r="35" spans="1:27" x14ac:dyDescent="0.2">
      <c r="A35" t="s">
        <v>84</v>
      </c>
      <c r="B35" s="29">
        <v>60431.304689999997</v>
      </c>
      <c r="C35" s="29">
        <v>69223.71875</v>
      </c>
      <c r="D35" s="29">
        <v>77323.875</v>
      </c>
      <c r="E35" s="29">
        <v>82733.117190000004</v>
      </c>
      <c r="F35" s="29">
        <v>91087.390629999994</v>
      </c>
      <c r="G35" s="29">
        <v>101802.92187999999</v>
      </c>
      <c r="H35" s="29">
        <v>109103.46875</v>
      </c>
      <c r="I35" s="29">
        <v>113130.58594</v>
      </c>
      <c r="J35" s="29">
        <v>114682.77344</v>
      </c>
      <c r="K35" s="29">
        <v>118714.25</v>
      </c>
      <c r="L35" s="29">
        <v>120413.07812999999</v>
      </c>
      <c r="M35" s="29">
        <v>118981.67187999999</v>
      </c>
      <c r="N35" s="29">
        <v>118956.92969</v>
      </c>
      <c r="O35" s="29">
        <v>118608.71094</v>
      </c>
      <c r="P35" s="29">
        <v>121917.46094</v>
      </c>
      <c r="Q35" s="29">
        <v>126503.02344</v>
      </c>
      <c r="R35" s="29">
        <v>134194.85938000001</v>
      </c>
      <c r="S35" s="29">
        <v>139292.21875</v>
      </c>
      <c r="T35" s="29">
        <v>145011.01563000001</v>
      </c>
      <c r="U35" s="29">
        <v>153527</v>
      </c>
      <c r="V35" s="29">
        <v>157722.84375</v>
      </c>
      <c r="W35" s="29">
        <v>169895.4375</v>
      </c>
      <c r="X35" s="29">
        <v>179161.46875</v>
      </c>
      <c r="Y35" s="29">
        <v>179303.78125</v>
      </c>
      <c r="Z35" s="29">
        <v>194440.73438000001</v>
      </c>
      <c r="AA35" s="29">
        <v>201830.76563000001</v>
      </c>
    </row>
    <row r="36" spans="1:27" x14ac:dyDescent="0.2">
      <c r="A36" t="s">
        <v>85</v>
      </c>
      <c r="B36">
        <v>60431.308590000001</v>
      </c>
      <c r="C36">
        <v>43906.476560000003</v>
      </c>
      <c r="D36">
        <v>41485.484380000002</v>
      </c>
      <c r="E36">
        <v>37499.066409999999</v>
      </c>
      <c r="F36">
        <v>43680.042970000002</v>
      </c>
      <c r="G36">
        <v>50335.003909999999</v>
      </c>
      <c r="H36">
        <v>50585.957029999998</v>
      </c>
      <c r="I36">
        <v>60316.585939999997</v>
      </c>
      <c r="J36">
        <v>62339.757810000003</v>
      </c>
      <c r="K36">
        <v>68089.40625</v>
      </c>
      <c r="L36">
        <v>49890.421880000002</v>
      </c>
      <c r="M36">
        <v>46619.175779999998</v>
      </c>
      <c r="N36">
        <v>47287.097659999999</v>
      </c>
      <c r="O36">
        <v>50148.972659999999</v>
      </c>
      <c r="P36">
        <v>58375.023439999997</v>
      </c>
      <c r="Q36">
        <v>68320.46875</v>
      </c>
      <c r="R36">
        <v>79316.171879999994</v>
      </c>
      <c r="S36">
        <v>104084.53125</v>
      </c>
      <c r="T36">
        <v>93393.023440000004</v>
      </c>
      <c r="U36">
        <v>111898.82812999999</v>
      </c>
      <c r="V36">
        <v>109317.82812999999</v>
      </c>
      <c r="W36">
        <v>136798.70313000001</v>
      </c>
      <c r="X36">
        <v>135516.85938000001</v>
      </c>
      <c r="Y36">
        <v>143299.98438000001</v>
      </c>
      <c r="Z36">
        <v>163669.67188000001</v>
      </c>
      <c r="AA36">
        <v>184944.78125</v>
      </c>
    </row>
    <row r="37" spans="1:27" x14ac:dyDescent="0.2">
      <c r="A37" t="s">
        <v>83</v>
      </c>
      <c r="B37" s="29">
        <f>B35/B36</f>
        <v>0.99999993546391608</v>
      </c>
      <c r="C37" s="29">
        <f t="shared" ref="C37:AA37" si="32">C35/C36</f>
        <v>1.5766174872949084</v>
      </c>
      <c r="D37" s="29">
        <f t="shared" si="32"/>
        <v>1.8638778395770053</v>
      </c>
      <c r="E37" s="29">
        <f t="shared" si="32"/>
        <v>2.2062713851440656</v>
      </c>
      <c r="F37" s="29">
        <f t="shared" si="32"/>
        <v>2.0853319831338069</v>
      </c>
      <c r="G37" s="29">
        <f t="shared" si="32"/>
        <v>2.0225074793284148</v>
      </c>
      <c r="H37" s="29">
        <f t="shared" si="32"/>
        <v>2.1567936074688911</v>
      </c>
      <c r="I37" s="29">
        <f t="shared" si="32"/>
        <v>1.8756132194308346</v>
      </c>
      <c r="J37" s="29">
        <f t="shared" si="32"/>
        <v>1.8396409846430875</v>
      </c>
      <c r="K37" s="29">
        <f t="shared" si="32"/>
        <v>1.7435054370150276</v>
      </c>
      <c r="L37" s="29">
        <f t="shared" si="32"/>
        <v>2.4135510102445337</v>
      </c>
      <c r="M37" s="29">
        <f t="shared" si="32"/>
        <v>2.5522045357791181</v>
      </c>
      <c r="N37" s="29">
        <f t="shared" si="32"/>
        <v>2.5156318652778151</v>
      </c>
      <c r="O37" s="29">
        <f t="shared" si="32"/>
        <v>2.3651274323034159</v>
      </c>
      <c r="P37" s="29">
        <f t="shared" si="32"/>
        <v>2.0885209761896073</v>
      </c>
      <c r="Q37" s="29">
        <f t="shared" si="32"/>
        <v>1.8516123462633591</v>
      </c>
      <c r="R37" s="29">
        <f t="shared" si="32"/>
        <v>1.6918978336855157</v>
      </c>
      <c r="S37" s="29">
        <f t="shared" si="32"/>
        <v>1.3382605184187732</v>
      </c>
      <c r="T37" s="29">
        <f t="shared" si="32"/>
        <v>1.5526964465730333</v>
      </c>
      <c r="U37" s="29">
        <f t="shared" si="32"/>
        <v>1.372016155715571</v>
      </c>
      <c r="V37" s="29">
        <f t="shared" si="32"/>
        <v>1.4427915962841587</v>
      </c>
      <c r="W37" s="29">
        <f t="shared" si="32"/>
        <v>1.2419374863411397</v>
      </c>
      <c r="X37" s="29">
        <f t="shared" si="32"/>
        <v>1.3220603662870982</v>
      </c>
      <c r="Y37" s="29">
        <f t="shared" si="32"/>
        <v>1.2512477375749451</v>
      </c>
      <c r="Z37" s="29">
        <f t="shared" si="32"/>
        <v>1.1880071130255632</v>
      </c>
      <c r="AA37" s="29">
        <f t="shared" si="32"/>
        <v>1.0913028432912324</v>
      </c>
    </row>
    <row r="38" spans="1:27" x14ac:dyDescent="0.2">
      <c r="A38" t="s">
        <v>87</v>
      </c>
      <c r="B38" s="29">
        <v>40573.011720000002</v>
      </c>
      <c r="C38" s="29">
        <v>44314.164060000003</v>
      </c>
      <c r="D38" s="29">
        <v>47346.757810000003</v>
      </c>
      <c r="E38" s="29">
        <v>51442.324220000002</v>
      </c>
      <c r="F38" s="29">
        <v>57481.785159999999</v>
      </c>
      <c r="G38" s="29">
        <v>65169.144529999998</v>
      </c>
      <c r="H38" s="29">
        <v>70814.296879999994</v>
      </c>
      <c r="I38" s="29">
        <v>74415.726559999996</v>
      </c>
      <c r="J38" s="29">
        <v>81626.625</v>
      </c>
      <c r="K38" s="29">
        <v>91406.609379999994</v>
      </c>
      <c r="L38" s="29">
        <v>100296.89062999999</v>
      </c>
      <c r="M38" s="29">
        <v>107235.04687999999</v>
      </c>
      <c r="N38" s="29">
        <v>116064.85937999999</v>
      </c>
      <c r="O38" s="29">
        <v>118787.67187999999</v>
      </c>
      <c r="P38" s="29">
        <v>125430.21094</v>
      </c>
      <c r="Q38" s="29">
        <v>133806.125</v>
      </c>
      <c r="R38" s="29">
        <v>146059.15625</v>
      </c>
      <c r="S38" s="29">
        <v>156149.23438000001</v>
      </c>
      <c r="T38" s="29">
        <v>165151.875</v>
      </c>
      <c r="U38" s="29">
        <v>177647.4375</v>
      </c>
      <c r="V38" s="29">
        <v>185431.60938000001</v>
      </c>
      <c r="W38" s="29">
        <v>202959.8125</v>
      </c>
      <c r="X38" s="29">
        <v>217489.04688000001</v>
      </c>
      <c r="Y38" s="29">
        <v>223403.07813000001</v>
      </c>
      <c r="Z38" s="29">
        <v>245322.42188000001</v>
      </c>
      <c r="AA38" s="29">
        <v>257402.59375</v>
      </c>
    </row>
    <row r="39" spans="1:27" x14ac:dyDescent="0.2">
      <c r="A39" t="s">
        <v>86</v>
      </c>
      <c r="B39" s="29">
        <v>40573</v>
      </c>
      <c r="C39" s="29">
        <v>40573</v>
      </c>
      <c r="D39" s="29">
        <v>38967.90625</v>
      </c>
      <c r="E39" s="29">
        <v>37745.199220000002</v>
      </c>
      <c r="F39" s="29">
        <v>36388.898439999997</v>
      </c>
      <c r="G39" s="29">
        <v>36020.160159999999</v>
      </c>
      <c r="H39" s="29">
        <v>36173.027340000001</v>
      </c>
      <c r="I39" s="29">
        <v>36473.605470000002</v>
      </c>
      <c r="J39" s="29">
        <v>36938.917970000002</v>
      </c>
      <c r="K39" s="29">
        <v>38039.371090000001</v>
      </c>
      <c r="L39" s="29">
        <v>38904.925779999998</v>
      </c>
      <c r="M39" s="29">
        <v>39776.914060000003</v>
      </c>
      <c r="N39" s="29">
        <v>41486.375</v>
      </c>
      <c r="O39" s="29">
        <v>43847.75</v>
      </c>
      <c r="P39" s="29">
        <v>46714.691409999999</v>
      </c>
      <c r="Q39" s="29">
        <v>50900.039060000003</v>
      </c>
      <c r="R39" s="29">
        <v>56282.492189999997</v>
      </c>
      <c r="S39" s="29">
        <v>62646.164060000003</v>
      </c>
      <c r="T39" s="29">
        <v>72595.578129999994</v>
      </c>
      <c r="U39" s="29">
        <v>80449.578129999994</v>
      </c>
      <c r="V39" s="29">
        <v>88412.875</v>
      </c>
      <c r="W39" s="29">
        <v>99523.117190000004</v>
      </c>
      <c r="X39" s="29">
        <v>110342.40625</v>
      </c>
      <c r="Y39" s="29">
        <v>117952.30469</v>
      </c>
      <c r="Z39" s="29">
        <v>123513.61719</v>
      </c>
      <c r="AA39" s="29">
        <v>130315.90625</v>
      </c>
    </row>
    <row r="40" spans="1:27" x14ac:dyDescent="0.2">
      <c r="A40" t="s">
        <v>88</v>
      </c>
      <c r="B40" s="29">
        <f>B38/B39</f>
        <v>1.0000002888620512</v>
      </c>
      <c r="C40" s="29">
        <f t="shared" ref="C40:AA40" si="33">C38/C39</f>
        <v>1.0922082187661746</v>
      </c>
      <c r="D40" s="29">
        <f t="shared" si="33"/>
        <v>1.2150192906502386</v>
      </c>
      <c r="E40" s="29">
        <f t="shared" si="33"/>
        <v>1.3628838973710415</v>
      </c>
      <c r="F40" s="29">
        <f t="shared" si="33"/>
        <v>1.5796516966508098</v>
      </c>
      <c r="G40" s="29">
        <f t="shared" si="33"/>
        <v>1.8092408318153352</v>
      </c>
      <c r="H40" s="29">
        <f t="shared" si="33"/>
        <v>1.9576546970867934</v>
      </c>
      <c r="I40" s="29">
        <f t="shared" si="33"/>
        <v>2.0402624199356398</v>
      </c>
      <c r="J40" s="29">
        <f t="shared" si="33"/>
        <v>2.2097730384602272</v>
      </c>
      <c r="K40" s="29">
        <f t="shared" si="33"/>
        <v>2.4029474400019581</v>
      </c>
      <c r="L40" s="29">
        <f t="shared" si="33"/>
        <v>2.5779997935778094</v>
      </c>
      <c r="M40" s="29">
        <f t="shared" si="33"/>
        <v>2.6959116717361553</v>
      </c>
      <c r="N40" s="29">
        <f t="shared" si="33"/>
        <v>2.7976621090659282</v>
      </c>
      <c r="O40" s="29">
        <f t="shared" si="33"/>
        <v>2.7090938960379951</v>
      </c>
      <c r="P40" s="29">
        <f t="shared" si="33"/>
        <v>2.6850270686610966</v>
      </c>
      <c r="Q40" s="29">
        <f t="shared" si="33"/>
        <v>2.6288020101963356</v>
      </c>
      <c r="R40" s="29">
        <f t="shared" si="33"/>
        <v>2.5951081866973738</v>
      </c>
      <c r="S40" s="29">
        <f t="shared" si="33"/>
        <v>2.4925585903463539</v>
      </c>
      <c r="T40" s="29">
        <f t="shared" si="33"/>
        <v>2.2749577764124354</v>
      </c>
      <c r="U40" s="29">
        <f t="shared" si="33"/>
        <v>2.2081835806887158</v>
      </c>
      <c r="V40" s="29">
        <f t="shared" si="33"/>
        <v>2.0973371737996307</v>
      </c>
      <c r="W40" s="29">
        <f t="shared" si="33"/>
        <v>2.0393233072928028</v>
      </c>
      <c r="X40" s="29">
        <f t="shared" si="33"/>
        <v>1.9710377385394386</v>
      </c>
      <c r="Y40" s="29">
        <f t="shared" si="33"/>
        <v>1.8940119798179758</v>
      </c>
      <c r="Z40" s="29">
        <f t="shared" si="33"/>
        <v>1.9861973720891235</v>
      </c>
      <c r="AA40" s="29">
        <f t="shared" si="33"/>
        <v>1.9752200721851636</v>
      </c>
    </row>
    <row r="41" spans="1:27" x14ac:dyDescent="0.2">
      <c r="A41" t="s">
        <v>92</v>
      </c>
      <c r="B41">
        <v>13087.200199999999</v>
      </c>
      <c r="C41">
        <v>13087.200199999999</v>
      </c>
      <c r="D41">
        <v>12628.16309</v>
      </c>
      <c r="E41">
        <v>12327.615229999999</v>
      </c>
      <c r="F41">
        <v>11991.87012</v>
      </c>
      <c r="G41">
        <v>12018.73242</v>
      </c>
      <c r="H41">
        <v>12187.106449999999</v>
      </c>
      <c r="I41">
        <v>12492.89551</v>
      </c>
      <c r="J41">
        <v>12870.007809999999</v>
      </c>
      <c r="K41">
        <v>13274.6582</v>
      </c>
      <c r="L41">
        <v>13891.79492</v>
      </c>
      <c r="M41">
        <v>14553.04297</v>
      </c>
      <c r="N41">
        <v>15368.25488</v>
      </c>
      <c r="O41">
        <v>16308.525390000001</v>
      </c>
      <c r="P41">
        <v>17350.300780000001</v>
      </c>
      <c r="Q41">
        <v>18812.626950000002</v>
      </c>
      <c r="R41">
        <v>20660.113280000001</v>
      </c>
      <c r="S41">
        <v>22821.851559999999</v>
      </c>
      <c r="T41">
        <v>26226.445309999999</v>
      </c>
      <c r="U41">
        <v>28907.296880000002</v>
      </c>
      <c r="V41">
        <v>31885.912110000001</v>
      </c>
      <c r="W41">
        <v>36120.203130000002</v>
      </c>
      <c r="X41">
        <v>40232.335939999997</v>
      </c>
      <c r="Y41">
        <v>42882.203130000002</v>
      </c>
      <c r="Z41">
        <v>45403.667970000002</v>
      </c>
      <c r="AA41">
        <v>48693.078130000002</v>
      </c>
    </row>
    <row r="42" spans="1:27" x14ac:dyDescent="0.2">
      <c r="A42" t="s">
        <v>93</v>
      </c>
      <c r="B42">
        <v>13087.20508</v>
      </c>
      <c r="C42">
        <v>14578.73828</v>
      </c>
      <c r="D42">
        <v>15873.83203</v>
      </c>
      <c r="E42">
        <v>17041.845700000002</v>
      </c>
      <c r="F42">
        <v>18824.773440000001</v>
      </c>
      <c r="G42">
        <v>21107.289059999999</v>
      </c>
      <c r="H42">
        <v>22692.332030000001</v>
      </c>
      <c r="I42">
        <v>23602.478520000001</v>
      </c>
      <c r="J42">
        <v>25616.058590000001</v>
      </c>
      <c r="K42">
        <v>28403.021479999999</v>
      </c>
      <c r="L42">
        <v>30879.310549999998</v>
      </c>
      <c r="M42">
        <v>32731.716799999998</v>
      </c>
      <c r="N42">
        <v>35141.40625</v>
      </c>
      <c r="O42">
        <v>37370.019529999998</v>
      </c>
      <c r="P42">
        <v>40946.667970000002</v>
      </c>
      <c r="Q42">
        <v>45271.707029999998</v>
      </c>
      <c r="R42">
        <v>51158.683590000001</v>
      </c>
      <c r="S42">
        <v>56559.738279999998</v>
      </c>
      <c r="T42">
        <v>60500.257810000003</v>
      </c>
      <c r="U42">
        <v>65799.65625</v>
      </c>
      <c r="V42">
        <v>69427</v>
      </c>
      <c r="W42">
        <v>76794.085940000004</v>
      </c>
      <c r="X42">
        <v>83142.898440000004</v>
      </c>
      <c r="Y42">
        <v>88499.296879999994</v>
      </c>
      <c r="Z42">
        <v>94066.984379999994</v>
      </c>
      <c r="AA42">
        <v>95937.984379999994</v>
      </c>
    </row>
    <row r="43" spans="1:27" x14ac:dyDescent="0.2">
      <c r="A43" t="s">
        <v>94</v>
      </c>
      <c r="B43">
        <f t="shared" ref="B43:AA43" si="34">B42/B41</f>
        <v>1.0000003728834224</v>
      </c>
      <c r="C43">
        <f t="shared" si="34"/>
        <v>1.1139692262062286</v>
      </c>
      <c r="D43">
        <f t="shared" si="34"/>
        <v>1.2570182944952764</v>
      </c>
      <c r="E43">
        <f t="shared" si="34"/>
        <v>1.3824122007416031</v>
      </c>
      <c r="F43">
        <f t="shared" si="34"/>
        <v>1.5697946401707694</v>
      </c>
      <c r="G43">
        <f t="shared" si="34"/>
        <v>1.7561992664780532</v>
      </c>
      <c r="H43">
        <f t="shared" si="34"/>
        <v>1.8619950620025973</v>
      </c>
      <c r="I43">
        <f t="shared" si="34"/>
        <v>1.8892720667604463</v>
      </c>
      <c r="J43">
        <f t="shared" si="34"/>
        <v>1.9903685349822644</v>
      </c>
      <c r="K43">
        <f t="shared" si="34"/>
        <v>2.1396423962162734</v>
      </c>
      <c r="L43">
        <f t="shared" si="34"/>
        <v>2.2228452642604948</v>
      </c>
      <c r="M43">
        <f t="shared" si="34"/>
        <v>2.24913214833997</v>
      </c>
      <c r="N43">
        <f t="shared" si="34"/>
        <v>2.2866230762305002</v>
      </c>
      <c r="O43">
        <f t="shared" si="34"/>
        <v>2.2914407425771555</v>
      </c>
      <c r="P43">
        <f t="shared" si="34"/>
        <v>2.3599975867392424</v>
      </c>
      <c r="Q43">
        <f t="shared" si="34"/>
        <v>2.406453237515561</v>
      </c>
      <c r="R43">
        <f t="shared" si="34"/>
        <v>2.4762053768371204</v>
      </c>
      <c r="S43">
        <f t="shared" si="34"/>
        <v>2.4783150539429766</v>
      </c>
      <c r="T43">
        <f t="shared" si="34"/>
        <v>2.3068417048089849</v>
      </c>
      <c r="U43">
        <f t="shared" si="34"/>
        <v>2.2762299956010277</v>
      </c>
      <c r="V43">
        <f t="shared" si="34"/>
        <v>2.1773565630015783</v>
      </c>
      <c r="W43">
        <f t="shared" si="34"/>
        <v>2.1260701570146456</v>
      </c>
      <c r="X43">
        <f t="shared" si="34"/>
        <v>2.0665690046929948</v>
      </c>
      <c r="Y43">
        <f t="shared" si="34"/>
        <v>2.0637768216271213</v>
      </c>
      <c r="Z43">
        <f t="shared" si="34"/>
        <v>2.0717926234980348</v>
      </c>
      <c r="AA43">
        <f t="shared" si="34"/>
        <v>1.9702591839412225</v>
      </c>
    </row>
    <row r="46" spans="1:27" x14ac:dyDescent="0.2">
      <c r="A46" t="s">
        <v>129</v>
      </c>
      <c r="B46" s="29">
        <f>AVERAGE(B34:AA34)</f>
        <v>1.2679778324990372</v>
      </c>
    </row>
    <row r="47" spans="1:27" x14ac:dyDescent="0.2">
      <c r="A47" t="s">
        <v>130</v>
      </c>
      <c r="B47">
        <f>_xlfn.STDEV.S(B34:AA34)</f>
        <v>0.1800309826183078</v>
      </c>
    </row>
    <row r="48" spans="1:27" x14ac:dyDescent="0.2">
      <c r="A48" t="s">
        <v>131</v>
      </c>
      <c r="B48" s="29">
        <f>AVERAGE(B37:AA37)</f>
        <v>1.7557317546828779</v>
      </c>
    </row>
    <row r="49" spans="1:27" x14ac:dyDescent="0.2">
      <c r="A49" t="s">
        <v>132</v>
      </c>
      <c r="B49">
        <f>_xlfn.STDEV.S(B37:AA37)</f>
        <v>0.45830323048243526</v>
      </c>
    </row>
    <row r="50" spans="1:27" x14ac:dyDescent="0.2">
      <c r="A50" t="s">
        <v>133</v>
      </c>
      <c r="B50" s="29">
        <f>AVERAGE(B40:AA40)</f>
        <v>2.0883874671824851</v>
      </c>
    </row>
    <row r="51" spans="1:27" x14ac:dyDescent="0.2">
      <c r="A51" t="s">
        <v>134</v>
      </c>
      <c r="B51">
        <f>_xlfn.STDEV.S(B40:AA40)</f>
        <v>0.51488487186283505</v>
      </c>
    </row>
    <row r="52" spans="1:27" x14ac:dyDescent="0.2">
      <c r="A52" t="s">
        <v>135</v>
      </c>
      <c r="B52">
        <f>AVERAGE(B43:AA43)</f>
        <v>1.991945407752522</v>
      </c>
    </row>
    <row r="53" spans="1:27" x14ac:dyDescent="0.2">
      <c r="A53" t="s">
        <v>136</v>
      </c>
      <c r="B53">
        <f>_xlfn.STDEV.S(B43:AA43)</f>
        <v>0.41346012749640632</v>
      </c>
    </row>
    <row r="61" spans="1:27" x14ac:dyDescent="0.2">
      <c r="A61" t="s">
        <v>34</v>
      </c>
      <c r="B61">
        <v>1990</v>
      </c>
      <c r="C61">
        <v>1991</v>
      </c>
      <c r="D61">
        <v>1992</v>
      </c>
      <c r="E61">
        <v>1993</v>
      </c>
      <c r="F61">
        <v>1994</v>
      </c>
      <c r="G61">
        <v>1995</v>
      </c>
      <c r="H61">
        <v>1996</v>
      </c>
      <c r="I61">
        <v>1997</v>
      </c>
      <c r="J61">
        <v>1998</v>
      </c>
      <c r="K61">
        <v>1999</v>
      </c>
      <c r="L61">
        <v>2000</v>
      </c>
      <c r="M61">
        <v>2001</v>
      </c>
      <c r="N61">
        <v>2002</v>
      </c>
      <c r="O61">
        <v>2003</v>
      </c>
      <c r="P61">
        <v>2004</v>
      </c>
      <c r="Q61">
        <v>2005</v>
      </c>
      <c r="R61">
        <v>2006</v>
      </c>
      <c r="S61">
        <v>2007</v>
      </c>
      <c r="T61">
        <v>2008</v>
      </c>
      <c r="U61">
        <v>2009</v>
      </c>
      <c r="V61">
        <v>2010</v>
      </c>
      <c r="W61">
        <v>2011</v>
      </c>
      <c r="X61">
        <v>2012</v>
      </c>
      <c r="Y61">
        <v>2013</v>
      </c>
      <c r="Z61">
        <v>2014</v>
      </c>
      <c r="AA61">
        <v>2015</v>
      </c>
    </row>
    <row r="62" spans="1:27" x14ac:dyDescent="0.2">
      <c r="A62" t="s">
        <v>199</v>
      </c>
      <c r="B62" t="s">
        <v>200</v>
      </c>
    </row>
    <row r="63" spans="1:27" x14ac:dyDescent="0.2">
      <c r="A63" t="s">
        <v>201</v>
      </c>
      <c r="B63">
        <v>60431.308590000001</v>
      </c>
      <c r="C63">
        <v>43906.476560000003</v>
      </c>
      <c r="D63">
        <v>41485.484380000002</v>
      </c>
      <c r="E63">
        <v>37499.066409999999</v>
      </c>
      <c r="F63">
        <v>43680.042970000002</v>
      </c>
      <c r="G63">
        <v>50335.003909999999</v>
      </c>
      <c r="H63">
        <v>50585.957029999998</v>
      </c>
      <c r="I63">
        <v>60316.585939999997</v>
      </c>
      <c r="J63">
        <v>62339.757810000003</v>
      </c>
      <c r="K63">
        <v>68089.40625</v>
      </c>
      <c r="L63">
        <v>49890.421880000002</v>
      </c>
      <c r="M63">
        <v>46619.175779999998</v>
      </c>
      <c r="N63">
        <v>47287.097659999999</v>
      </c>
      <c r="O63">
        <v>50148.972659999999</v>
      </c>
      <c r="P63">
        <v>58375.023439999997</v>
      </c>
      <c r="Q63">
        <v>68320.46875</v>
      </c>
      <c r="R63">
        <v>79316.171879999994</v>
      </c>
      <c r="S63">
        <v>104084.53125</v>
      </c>
      <c r="T63">
        <v>93393.023440000004</v>
      </c>
      <c r="U63">
        <v>111898.82812999999</v>
      </c>
      <c r="V63">
        <v>109317.82812999999</v>
      </c>
      <c r="W63">
        <v>136798.70313000001</v>
      </c>
      <c r="X63">
        <v>135516.85938000001</v>
      </c>
      <c r="Y63">
        <v>143299.98438000001</v>
      </c>
      <c r="Z63">
        <v>163669.67188000001</v>
      </c>
      <c r="AA63">
        <v>184944.78125</v>
      </c>
    </row>
  </sheetData>
  <dataConsolidate/>
  <mergeCells count="5">
    <mergeCell ref="B10:H10"/>
    <mergeCell ref="B8:F9"/>
    <mergeCell ref="B13:F14"/>
    <mergeCell ref="A25:E27"/>
    <mergeCell ref="A8:A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workbookViewId="0">
      <selection activeCell="AP8" sqref="AP8"/>
    </sheetView>
  </sheetViews>
  <sheetFormatPr baseColWidth="10" defaultColWidth="8.83203125" defaultRowHeight="15" x14ac:dyDescent="0.2"/>
  <cols>
    <col min="1" max="1" width="28.5" customWidth="1"/>
    <col min="2" max="3" width="12.5" bestFit="1" customWidth="1"/>
    <col min="4" max="4" width="11.33203125" bestFit="1" customWidth="1"/>
    <col min="12" max="12" width="11.33203125" bestFit="1" customWidth="1"/>
    <col min="13" max="14" width="11.33203125" customWidth="1"/>
    <col min="15" max="17" width="11.33203125" bestFit="1" customWidth="1"/>
    <col min="27" max="42" width="16.6640625" bestFit="1" customWidth="1"/>
  </cols>
  <sheetData>
    <row r="1" spans="1:42" x14ac:dyDescent="0.2">
      <c r="A1" s="20" t="s">
        <v>10</v>
      </c>
      <c r="B1" s="21">
        <v>1990</v>
      </c>
      <c r="C1" s="21">
        <v>1991</v>
      </c>
      <c r="D1" s="21">
        <v>1992</v>
      </c>
      <c r="E1" s="21">
        <v>1993</v>
      </c>
      <c r="F1" s="68">
        <v>1994</v>
      </c>
      <c r="G1" s="21">
        <v>1995</v>
      </c>
      <c r="H1" s="21">
        <v>1996</v>
      </c>
      <c r="I1" s="21">
        <v>1997</v>
      </c>
      <c r="J1" s="21">
        <v>1998</v>
      </c>
      <c r="K1" s="21">
        <v>1999</v>
      </c>
      <c r="L1" s="21">
        <v>2000</v>
      </c>
      <c r="M1" s="67">
        <v>2001</v>
      </c>
      <c r="N1" s="67">
        <v>2002</v>
      </c>
      <c r="O1" s="21">
        <v>2003</v>
      </c>
      <c r="P1" s="21">
        <v>2004</v>
      </c>
      <c r="Q1" s="21">
        <v>2005</v>
      </c>
      <c r="R1" s="21">
        <v>2006</v>
      </c>
      <c r="S1" s="21">
        <v>2007</v>
      </c>
      <c r="T1" s="21">
        <v>2008</v>
      </c>
      <c r="U1" s="21">
        <v>2009</v>
      </c>
      <c r="V1" s="21">
        <v>2010</v>
      </c>
      <c r="W1" s="21">
        <v>2011</v>
      </c>
      <c r="X1" s="21">
        <v>2012</v>
      </c>
      <c r="Y1" s="21">
        <v>2013</v>
      </c>
      <c r="Z1" s="21">
        <v>2014</v>
      </c>
      <c r="AA1" s="22">
        <v>2015</v>
      </c>
      <c r="AB1" s="50">
        <v>2016</v>
      </c>
      <c r="AC1" s="22">
        <v>2017</v>
      </c>
      <c r="AD1" s="50">
        <v>2018</v>
      </c>
      <c r="AE1" s="22">
        <v>2019</v>
      </c>
      <c r="AF1" s="50">
        <v>2020</v>
      </c>
      <c r="AG1" s="22">
        <v>2021</v>
      </c>
      <c r="AH1" s="50">
        <v>2022</v>
      </c>
      <c r="AI1" s="22">
        <v>2023</v>
      </c>
      <c r="AJ1" s="50">
        <v>2024</v>
      </c>
      <c r="AK1" s="22">
        <v>2025</v>
      </c>
      <c r="AL1" s="50">
        <v>2026</v>
      </c>
      <c r="AM1" s="22">
        <v>2027</v>
      </c>
      <c r="AN1" s="50">
        <v>2028</v>
      </c>
      <c r="AO1" s="22">
        <v>2029</v>
      </c>
      <c r="AP1" s="50">
        <v>2030</v>
      </c>
    </row>
    <row r="2" spans="1:42" x14ac:dyDescent="0.2">
      <c r="A2" s="23" t="s">
        <v>11</v>
      </c>
      <c r="B2" s="24">
        <v>326608014285</v>
      </c>
      <c r="C2" s="24">
        <v>274842348144</v>
      </c>
      <c r="D2" s="25">
        <v>293262352360</v>
      </c>
      <c r="E2" s="25">
        <v>284193716757</v>
      </c>
      <c r="F2" s="69">
        <v>333014463393</v>
      </c>
      <c r="G2" s="25">
        <v>366599645610</v>
      </c>
      <c r="H2" s="25">
        <v>399786888514</v>
      </c>
      <c r="I2" s="25">
        <v>423160419439</v>
      </c>
      <c r="J2" s="25">
        <v>428741030147</v>
      </c>
      <c r="K2" s="25">
        <v>466867079642</v>
      </c>
      <c r="L2" s="25">
        <v>476609148165</v>
      </c>
      <c r="M2">
        <v>493954161367.56299</v>
      </c>
      <c r="N2">
        <v>523968381476.71503</v>
      </c>
      <c r="O2" s="25">
        <v>618356467437</v>
      </c>
      <c r="P2" s="25">
        <v>721585608184</v>
      </c>
      <c r="Q2" s="25">
        <v>834215013606</v>
      </c>
      <c r="R2" s="25">
        <v>949116769620</v>
      </c>
      <c r="S2" s="25">
        <v>1238699170079</v>
      </c>
      <c r="T2" s="25">
        <v>1224097069460</v>
      </c>
      <c r="U2" s="25">
        <v>1365371474048</v>
      </c>
      <c r="V2" s="25">
        <v>1708458876830</v>
      </c>
      <c r="W2" s="25">
        <v>1835814449585</v>
      </c>
      <c r="X2" s="25">
        <v>1831781515472</v>
      </c>
      <c r="Y2" s="25">
        <v>1861801615478</v>
      </c>
      <c r="Z2" s="25">
        <v>2066902397333</v>
      </c>
      <c r="AA2" s="19">
        <f>TREND(Y2:Z2,Y1:Z1,AA1,TRUE)</f>
        <v>2272003179188</v>
      </c>
      <c r="AB2" s="19">
        <v>2470000000000</v>
      </c>
      <c r="AC2" s="19">
        <v>2610000000000</v>
      </c>
      <c r="AD2" s="19">
        <v>2768000000000</v>
      </c>
      <c r="AE2" s="19">
        <v>2938000000000</v>
      </c>
      <c r="AF2" s="19">
        <v>3121000000000</v>
      </c>
      <c r="AG2" s="19">
        <v>3320000000000</v>
      </c>
      <c r="AH2" s="19">
        <v>3538000000000</v>
      </c>
      <c r="AI2" s="19">
        <v>3773000000000</v>
      </c>
      <c r="AJ2" s="19">
        <v>4028000000000</v>
      </c>
      <c r="AK2" s="19">
        <v>4304000000000</v>
      </c>
      <c r="AL2" s="19">
        <v>4605000000000</v>
      </c>
      <c r="AM2" s="19">
        <v>4927000000000</v>
      </c>
      <c r="AN2" s="19">
        <v>5267000000000</v>
      </c>
      <c r="AO2" s="19">
        <v>5633000000000</v>
      </c>
      <c r="AP2" s="19">
        <v>6028000000000</v>
      </c>
    </row>
    <row r="3" spans="1:42" ht="36.75" customHeight="1" x14ac:dyDescent="0.2">
      <c r="A3" s="75" t="s">
        <v>12</v>
      </c>
      <c r="B3" s="75"/>
      <c r="C3" s="75"/>
      <c r="D3" s="75"/>
      <c r="E3" s="75"/>
      <c r="F3" s="75"/>
      <c r="G3" s="26"/>
      <c r="H3" s="26"/>
      <c r="I3" s="26"/>
      <c r="J3" s="26"/>
      <c r="K3" s="26"/>
      <c r="L3" s="26"/>
      <c r="M3" s="26"/>
      <c r="N3" s="26"/>
      <c r="O3" s="26"/>
      <c r="P3" s="26"/>
      <c r="Q3" s="26"/>
      <c r="R3" s="26"/>
      <c r="S3" s="26"/>
      <c r="T3" s="26"/>
      <c r="U3" s="26"/>
      <c r="V3" s="26"/>
      <c r="W3" s="26"/>
      <c r="X3" s="26"/>
      <c r="Y3" s="26"/>
      <c r="Z3" s="26"/>
    </row>
    <row r="4" spans="1:42" x14ac:dyDescent="0.2">
      <c r="A4" t="s">
        <v>186</v>
      </c>
    </row>
    <row r="7" spans="1:42" x14ac:dyDescent="0.2">
      <c r="A7" t="s">
        <v>203</v>
      </c>
      <c r="B7">
        <f>B2-(B2*0.5)</f>
        <v>163304007142.5</v>
      </c>
      <c r="C7">
        <f t="shared" ref="C7:AP7" si="0">C2-(C2*0.5)</f>
        <v>137421174072</v>
      </c>
      <c r="D7">
        <f t="shared" si="0"/>
        <v>146631176180</v>
      </c>
      <c r="E7">
        <f t="shared" si="0"/>
        <v>142096858378.5</v>
      </c>
      <c r="F7">
        <f t="shared" si="0"/>
        <v>166507231696.5</v>
      </c>
      <c r="G7">
        <f t="shared" si="0"/>
        <v>183299822805</v>
      </c>
      <c r="H7">
        <f t="shared" si="0"/>
        <v>199893444257</v>
      </c>
      <c r="I7">
        <f t="shared" si="0"/>
        <v>211580209719.5</v>
      </c>
      <c r="J7">
        <f t="shared" si="0"/>
        <v>214370515073.5</v>
      </c>
      <c r="K7">
        <f t="shared" si="0"/>
        <v>233433539821</v>
      </c>
      <c r="L7">
        <f t="shared" si="0"/>
        <v>238304574082.5</v>
      </c>
      <c r="M7">
        <f t="shared" si="0"/>
        <v>246977080683.78149</v>
      </c>
      <c r="N7">
        <f t="shared" si="0"/>
        <v>261984190738.35751</v>
      </c>
      <c r="O7">
        <f t="shared" si="0"/>
        <v>309178233718.5</v>
      </c>
      <c r="P7">
        <f t="shared" si="0"/>
        <v>360792804092</v>
      </c>
      <c r="Q7">
        <f t="shared" si="0"/>
        <v>417107506803</v>
      </c>
      <c r="R7">
        <f t="shared" si="0"/>
        <v>474558384810</v>
      </c>
      <c r="S7">
        <f t="shared" si="0"/>
        <v>619349585039.5</v>
      </c>
      <c r="T7">
        <f t="shared" si="0"/>
        <v>612048534730</v>
      </c>
      <c r="U7">
        <f t="shared" si="0"/>
        <v>682685737024</v>
      </c>
      <c r="V7">
        <f t="shared" si="0"/>
        <v>854229438415</v>
      </c>
      <c r="W7">
        <f t="shared" si="0"/>
        <v>917907224792.5</v>
      </c>
      <c r="X7">
        <f t="shared" si="0"/>
        <v>915890757736</v>
      </c>
      <c r="Y7">
        <f t="shared" si="0"/>
        <v>930900807739</v>
      </c>
      <c r="Z7">
        <f t="shared" si="0"/>
        <v>1033451198666.5</v>
      </c>
      <c r="AA7">
        <f t="shared" si="0"/>
        <v>1136001589594</v>
      </c>
      <c r="AB7">
        <f t="shared" si="0"/>
        <v>1235000000000</v>
      </c>
      <c r="AC7">
        <f t="shared" si="0"/>
        <v>1305000000000</v>
      </c>
      <c r="AD7">
        <f t="shared" si="0"/>
        <v>1384000000000</v>
      </c>
      <c r="AE7">
        <f t="shared" si="0"/>
        <v>1469000000000</v>
      </c>
      <c r="AF7">
        <f t="shared" si="0"/>
        <v>1560500000000</v>
      </c>
      <c r="AG7">
        <f t="shared" si="0"/>
        <v>1660000000000</v>
      </c>
      <c r="AH7">
        <f t="shared" si="0"/>
        <v>1769000000000</v>
      </c>
      <c r="AI7">
        <f t="shared" si="0"/>
        <v>1886500000000</v>
      </c>
      <c r="AJ7">
        <f t="shared" si="0"/>
        <v>2014000000000</v>
      </c>
      <c r="AK7">
        <f t="shared" si="0"/>
        <v>2152000000000</v>
      </c>
      <c r="AL7">
        <f t="shared" si="0"/>
        <v>2302500000000</v>
      </c>
      <c r="AM7">
        <f t="shared" si="0"/>
        <v>2463500000000</v>
      </c>
      <c r="AN7">
        <f t="shared" si="0"/>
        <v>2633500000000</v>
      </c>
      <c r="AO7">
        <f t="shared" si="0"/>
        <v>2816500000000</v>
      </c>
      <c r="AP7">
        <f t="shared" si="0"/>
        <v>3014000000000</v>
      </c>
    </row>
    <row r="8" spans="1:42" x14ac:dyDescent="0.2">
      <c r="A8" t="s">
        <v>202</v>
      </c>
      <c r="B8">
        <f>B2+(B2*0.5)</f>
        <v>489912021427.5</v>
      </c>
      <c r="C8">
        <f t="shared" ref="C8:AP8" si="1">C2+(C2*0.5)</f>
        <v>412263522216</v>
      </c>
      <c r="D8">
        <f t="shared" si="1"/>
        <v>439893528540</v>
      </c>
      <c r="E8">
        <f t="shared" si="1"/>
        <v>426290575135.5</v>
      </c>
      <c r="F8">
        <f t="shared" si="1"/>
        <v>499521695089.5</v>
      </c>
      <c r="G8">
        <f t="shared" si="1"/>
        <v>549899468415</v>
      </c>
      <c r="H8">
        <f t="shared" si="1"/>
        <v>599680332771</v>
      </c>
      <c r="I8">
        <f t="shared" si="1"/>
        <v>634740629158.5</v>
      </c>
      <c r="J8">
        <f t="shared" si="1"/>
        <v>643111545220.5</v>
      </c>
      <c r="K8">
        <f t="shared" si="1"/>
        <v>700300619463</v>
      </c>
      <c r="L8">
        <f t="shared" si="1"/>
        <v>714913722247.5</v>
      </c>
      <c r="M8">
        <f t="shared" si="1"/>
        <v>740931242051.34448</v>
      </c>
      <c r="N8">
        <f t="shared" si="1"/>
        <v>785952572215.07251</v>
      </c>
      <c r="O8">
        <f t="shared" si="1"/>
        <v>927534701155.5</v>
      </c>
      <c r="P8">
        <f t="shared" si="1"/>
        <v>1082378412276</v>
      </c>
      <c r="Q8">
        <f t="shared" si="1"/>
        <v>1251322520409</v>
      </c>
      <c r="R8">
        <f t="shared" si="1"/>
        <v>1423675154430</v>
      </c>
      <c r="S8">
        <f t="shared" si="1"/>
        <v>1858048755118.5</v>
      </c>
      <c r="T8">
        <f t="shared" si="1"/>
        <v>1836145604190</v>
      </c>
      <c r="U8">
        <f t="shared" si="1"/>
        <v>2048057211072</v>
      </c>
      <c r="V8">
        <f t="shared" si="1"/>
        <v>2562688315245</v>
      </c>
      <c r="W8">
        <f t="shared" si="1"/>
        <v>2753721674377.5</v>
      </c>
      <c r="X8">
        <f t="shared" si="1"/>
        <v>2747672273208</v>
      </c>
      <c r="Y8">
        <f t="shared" si="1"/>
        <v>2792702423217</v>
      </c>
      <c r="Z8">
        <f t="shared" si="1"/>
        <v>3100353595999.5</v>
      </c>
      <c r="AA8">
        <f t="shared" si="1"/>
        <v>3408004768782</v>
      </c>
      <c r="AB8">
        <f t="shared" si="1"/>
        <v>3705000000000</v>
      </c>
      <c r="AC8">
        <f t="shared" si="1"/>
        <v>3915000000000</v>
      </c>
      <c r="AD8">
        <f t="shared" si="1"/>
        <v>4152000000000</v>
      </c>
      <c r="AE8">
        <f t="shared" si="1"/>
        <v>4407000000000</v>
      </c>
      <c r="AF8">
        <f t="shared" si="1"/>
        <v>4681500000000</v>
      </c>
      <c r="AG8">
        <f t="shared" si="1"/>
        <v>4980000000000</v>
      </c>
      <c r="AH8">
        <f t="shared" si="1"/>
        <v>5307000000000</v>
      </c>
      <c r="AI8">
        <f t="shared" si="1"/>
        <v>5659500000000</v>
      </c>
      <c r="AJ8">
        <f t="shared" si="1"/>
        <v>6042000000000</v>
      </c>
      <c r="AK8">
        <f t="shared" si="1"/>
        <v>6456000000000</v>
      </c>
      <c r="AL8">
        <f t="shared" si="1"/>
        <v>6907500000000</v>
      </c>
      <c r="AM8">
        <f t="shared" si="1"/>
        <v>7390500000000</v>
      </c>
      <c r="AN8">
        <f t="shared" si="1"/>
        <v>7900500000000</v>
      </c>
      <c r="AO8">
        <f t="shared" si="1"/>
        <v>8449500000000</v>
      </c>
      <c r="AP8">
        <f t="shared" si="1"/>
        <v>9042000000000</v>
      </c>
    </row>
    <row r="12" spans="1:42" x14ac:dyDescent="0.2">
      <c r="AA12" s="54"/>
      <c r="AB12" s="55"/>
    </row>
    <row r="13" spans="1:42" x14ac:dyDescent="0.2">
      <c r="AA13" s="54"/>
      <c r="AB13" s="55"/>
    </row>
    <row r="14" spans="1:42" x14ac:dyDescent="0.2">
      <c r="AA14" s="54"/>
      <c r="AB14" s="55"/>
    </row>
    <row r="15" spans="1:42" x14ac:dyDescent="0.2">
      <c r="AA15" s="54"/>
      <c r="AB15" s="55"/>
    </row>
    <row r="16" spans="1:42" x14ac:dyDescent="0.2">
      <c r="AA16" s="54"/>
      <c r="AB16" s="55"/>
    </row>
    <row r="17" spans="27:28" x14ac:dyDescent="0.2">
      <c r="AA17" s="54"/>
      <c r="AB17" s="55"/>
    </row>
    <row r="18" spans="27:28" x14ac:dyDescent="0.2">
      <c r="AA18" s="54"/>
      <c r="AB18" s="55"/>
    </row>
    <row r="19" spans="27:28" x14ac:dyDescent="0.2">
      <c r="AA19" s="54"/>
      <c r="AB19" s="55"/>
    </row>
    <row r="20" spans="27:28" x14ac:dyDescent="0.2">
      <c r="AA20" s="54"/>
      <c r="AB20" s="55"/>
    </row>
    <row r="21" spans="27:28" x14ac:dyDescent="0.2">
      <c r="AA21" s="54"/>
      <c r="AB21" s="55"/>
    </row>
    <row r="22" spans="27:28" x14ac:dyDescent="0.2">
      <c r="AA22" s="54"/>
      <c r="AB22" s="55"/>
    </row>
    <row r="23" spans="27:28" x14ac:dyDescent="0.2">
      <c r="AA23" s="54"/>
      <c r="AB23" s="55"/>
    </row>
    <row r="24" spans="27:28" x14ac:dyDescent="0.2">
      <c r="AA24" s="54"/>
      <c r="AB24" s="55"/>
    </row>
    <row r="25" spans="27:28" x14ac:dyDescent="0.2">
      <c r="AA25" s="54"/>
      <c r="AB25" s="55"/>
    </row>
    <row r="26" spans="27:28" x14ac:dyDescent="0.2">
      <c r="AA26" s="54"/>
      <c r="AB26" s="55"/>
    </row>
  </sheetData>
  <mergeCells count="1">
    <mergeCell ref="A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
  <sheetViews>
    <sheetView workbookViewId="0">
      <selection activeCell="A9" sqref="A9:E10"/>
    </sheetView>
  </sheetViews>
  <sheetFormatPr baseColWidth="10" defaultColWidth="8.83203125" defaultRowHeight="15" x14ac:dyDescent="0.2"/>
  <cols>
    <col min="1" max="1" width="23.664062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s="3" t="s">
        <v>14</v>
      </c>
      <c r="B2" s="32">
        <v>241.84999999998524</v>
      </c>
      <c r="C2" s="32">
        <v>295.19999999999402</v>
      </c>
      <c r="D2" s="19">
        <v>357.59999999999997</v>
      </c>
      <c r="E2" s="19">
        <v>437.09999999999997</v>
      </c>
      <c r="F2" s="19">
        <v>464.3</v>
      </c>
      <c r="G2" s="19">
        <v>561.9</v>
      </c>
      <c r="H2" s="19">
        <v>678.8</v>
      </c>
      <c r="I2" s="19">
        <v>767.4</v>
      </c>
      <c r="J2" s="19">
        <v>826.2</v>
      </c>
      <c r="K2" s="19">
        <v>1262.8</v>
      </c>
      <c r="L2" s="19">
        <v>1392</v>
      </c>
      <c r="M2" s="32">
        <v>1594</v>
      </c>
      <c r="N2" s="32">
        <v>1796</v>
      </c>
      <c r="O2" s="32">
        <v>1997.9999999999998</v>
      </c>
      <c r="P2" s="32">
        <v>2199.9999999999995</v>
      </c>
      <c r="Q2" s="32">
        <v>2401.9999999999995</v>
      </c>
      <c r="R2" s="32">
        <v>2603.9999999999995</v>
      </c>
      <c r="S2" s="19">
        <v>2806</v>
      </c>
      <c r="T2" s="19">
        <v>3202.7999999999997</v>
      </c>
      <c r="U2" s="19">
        <v>3415.4</v>
      </c>
      <c r="V2" s="19">
        <v>3718.2</v>
      </c>
      <c r="W2" s="19">
        <v>4168.5999999999995</v>
      </c>
      <c r="X2" s="19">
        <v>4456.5999999999995</v>
      </c>
      <c r="Y2" s="19">
        <v>4477.1000000000004</v>
      </c>
      <c r="Z2" s="28">
        <v>4497.6000000000058</v>
      </c>
      <c r="AA2" s="28">
        <v>4518.100000000004</v>
      </c>
      <c r="AB2" s="28">
        <f>TREND(B2:AA2,B1:AA1,AB1,TRUE)</f>
        <v>4767.2173846153892</v>
      </c>
      <c r="AC2" s="28">
        <f t="shared" ref="AC2:AP2" si="0">TREND(C2:AB2,C1:AB1,AC1,TRUE)</f>
        <v>5012.4912899408955</v>
      </c>
      <c r="AD2" s="28">
        <f t="shared" si="0"/>
        <v>5258.3233279198757</v>
      </c>
      <c r="AE2" s="28">
        <f t="shared" si="0"/>
        <v>5503.8074521424714</v>
      </c>
      <c r="AF2" s="28">
        <f t="shared" si="0"/>
        <v>5748.6701493722503</v>
      </c>
      <c r="AG2" s="28">
        <f t="shared" si="0"/>
        <v>5986.7778081561555</v>
      </c>
      <c r="AH2" s="28">
        <f t="shared" si="0"/>
        <v>6221.14722845098</v>
      </c>
      <c r="AI2" s="28">
        <f t="shared" si="0"/>
        <v>6451.5690721005667</v>
      </c>
      <c r="AJ2" s="28">
        <f t="shared" si="0"/>
        <v>6673.9135326643591</v>
      </c>
      <c r="AK2" s="28">
        <f t="shared" si="0"/>
        <v>6883.0614264954929</v>
      </c>
      <c r="AL2" s="28">
        <f t="shared" si="0"/>
        <v>7108.0217944607139</v>
      </c>
      <c r="AM2" s="28">
        <f t="shared" si="0"/>
        <v>7326.8431904836907</v>
      </c>
      <c r="AN2" s="28">
        <f t="shared" si="0"/>
        <v>7543.969215484336</v>
      </c>
      <c r="AO2" s="28">
        <f t="shared" si="0"/>
        <v>7758.9837687268155</v>
      </c>
      <c r="AP2" s="28">
        <f t="shared" si="0"/>
        <v>7971.422383556026</v>
      </c>
    </row>
    <row r="6" spans="1:42" x14ac:dyDescent="0.2">
      <c r="A6" t="s">
        <v>27</v>
      </c>
    </row>
    <row r="7" spans="1:42" x14ac:dyDescent="0.2">
      <c r="A7" s="71" t="s">
        <v>15</v>
      </c>
      <c r="B7" s="71"/>
      <c r="C7" s="71"/>
    </row>
    <row r="8" spans="1:42" ht="34.5" customHeight="1" x14ac:dyDescent="0.2">
      <c r="A8" s="71"/>
      <c r="B8" s="71"/>
      <c r="C8" s="71"/>
    </row>
    <row r="9" spans="1:42" x14ac:dyDescent="0.2">
      <c r="A9" s="71" t="s">
        <v>5</v>
      </c>
      <c r="B9" s="71"/>
      <c r="C9" s="71"/>
      <c r="D9" s="71"/>
      <c r="E9" s="71"/>
    </row>
    <row r="10" spans="1:42" x14ac:dyDescent="0.2">
      <c r="A10" s="71"/>
      <c r="B10" s="71"/>
      <c r="C10" s="71"/>
      <c r="D10" s="71"/>
      <c r="E10" s="71"/>
    </row>
    <row r="13" spans="1:42" ht="30" x14ac:dyDescent="0.2">
      <c r="A13" s="42" t="s">
        <v>145</v>
      </c>
      <c r="B13">
        <f>TREND(B2:C2,B1:C1,1985,TRUE)</f>
        <v>-24.900000000052387</v>
      </c>
    </row>
  </sheetData>
  <mergeCells count="2">
    <mergeCell ref="A7:C8"/>
    <mergeCell ref="A9: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6"/>
  <sheetViews>
    <sheetView workbookViewId="0">
      <selection activeCell="I28" sqref="I28"/>
    </sheetView>
  </sheetViews>
  <sheetFormatPr baseColWidth="10" defaultColWidth="8.83203125" defaultRowHeight="15" x14ac:dyDescent="0.2"/>
  <cols>
    <col min="1" max="1" width="40.83203125" bestFit="1" customWidth="1"/>
    <col min="2" max="25" width="9.5" bestFit="1" customWidth="1"/>
    <col min="26" max="42" width="10.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t="s">
        <v>17</v>
      </c>
      <c r="B2">
        <f>B6*0.77</f>
        <v>210220.54899999942</v>
      </c>
      <c r="C2">
        <f t="shared" ref="C2:AA2" si="0">C6*0.77</f>
        <v>221012.33000000002</v>
      </c>
      <c r="D2">
        <f t="shared" si="0"/>
        <v>231804.111</v>
      </c>
      <c r="E2">
        <f t="shared" si="0"/>
        <v>249518.269</v>
      </c>
      <c r="F2">
        <f t="shared" si="0"/>
        <v>258175.53300000002</v>
      </c>
      <c r="G2">
        <f t="shared" si="0"/>
        <v>292505.44400000002</v>
      </c>
      <c r="H2">
        <f t="shared" si="0"/>
        <v>304834.53000000003</v>
      </c>
      <c r="I2">
        <f t="shared" si="0"/>
        <v>324745.34400000004</v>
      </c>
      <c r="J2">
        <f t="shared" si="0"/>
        <v>345237.2</v>
      </c>
      <c r="K2">
        <f t="shared" si="0"/>
        <v>370043.52</v>
      </c>
      <c r="L2">
        <f t="shared" si="0"/>
        <v>384576.5</v>
      </c>
      <c r="M2">
        <f t="shared" si="0"/>
        <v>398428.03</v>
      </c>
      <c r="N2">
        <f t="shared" si="0"/>
        <v>422023.14</v>
      </c>
      <c r="O2">
        <f t="shared" si="0"/>
        <v>445618.25</v>
      </c>
      <c r="P2">
        <f t="shared" si="0"/>
        <v>469213.36</v>
      </c>
      <c r="Q2">
        <f t="shared" si="0"/>
        <v>492808.47000000003</v>
      </c>
      <c r="R2">
        <f t="shared" si="0"/>
        <v>516403.58</v>
      </c>
      <c r="S2">
        <f t="shared" si="0"/>
        <v>556421.25</v>
      </c>
      <c r="T2">
        <f t="shared" si="0"/>
        <v>570698.59</v>
      </c>
      <c r="U2">
        <f t="shared" si="0"/>
        <v>591326.12</v>
      </c>
      <c r="V2">
        <f t="shared" si="0"/>
        <v>624513.12</v>
      </c>
      <c r="W2">
        <f t="shared" si="0"/>
        <v>710287.27</v>
      </c>
      <c r="X2">
        <f t="shared" si="0"/>
        <v>742656.53</v>
      </c>
      <c r="Y2">
        <f t="shared" si="0"/>
        <v>786298.59</v>
      </c>
      <c r="Z2">
        <f t="shared" si="0"/>
        <v>851193.42</v>
      </c>
      <c r="AA2">
        <f t="shared" si="0"/>
        <v>916088.25</v>
      </c>
      <c r="AB2" s="27">
        <f>GROWTH(B2:AA2,B1:AA1,AB1,TRUE)</f>
        <v>929622.2458853391</v>
      </c>
      <c r="AC2" s="27">
        <f t="shared" ref="AC2:AP2" si="1">GROWTH(C2:AB2,C1:AB1,AC1,TRUE)</f>
        <v>982965.56255507097</v>
      </c>
      <c r="AD2" s="27">
        <f t="shared" si="1"/>
        <v>1038511.9359021519</v>
      </c>
      <c r="AE2" s="27">
        <f t="shared" si="1"/>
        <v>1095868.8971072508</v>
      </c>
      <c r="AF2" s="27">
        <f t="shared" si="1"/>
        <v>1157286.7108761144</v>
      </c>
      <c r="AG2" s="27">
        <f t="shared" si="1"/>
        <v>1219300.4511757747</v>
      </c>
      <c r="AH2" s="27">
        <f t="shared" si="1"/>
        <v>1290997.0168456417</v>
      </c>
      <c r="AI2" s="27">
        <f t="shared" si="1"/>
        <v>1365775.2949581109</v>
      </c>
      <c r="AJ2" s="27">
        <f t="shared" si="1"/>
        <v>1446027.0415579253</v>
      </c>
      <c r="AK2" s="27">
        <f t="shared" si="1"/>
        <v>1532214.4154044872</v>
      </c>
      <c r="AL2" s="27">
        <f t="shared" si="1"/>
        <v>1626241.4658333296</v>
      </c>
      <c r="AM2" s="27">
        <f t="shared" si="1"/>
        <v>1724944.6760896659</v>
      </c>
      <c r="AN2" s="27">
        <f t="shared" si="1"/>
        <v>1827451.5212755948</v>
      </c>
      <c r="AO2" s="27">
        <f t="shared" si="1"/>
        <v>1936651.9021092551</v>
      </c>
      <c r="AP2" s="27">
        <f t="shared" si="1"/>
        <v>2052556.5309326625</v>
      </c>
    </row>
    <row r="3" spans="1:42" x14ac:dyDescent="0.2">
      <c r="A3" s="71" t="s">
        <v>9</v>
      </c>
      <c r="B3" s="71"/>
      <c r="C3" s="71"/>
      <c r="D3" s="71"/>
    </row>
    <row r="4" spans="1:42" x14ac:dyDescent="0.2">
      <c r="A4" s="71"/>
      <c r="B4" s="71"/>
      <c r="C4" s="71"/>
      <c r="D4" s="71"/>
    </row>
    <row r="6" spans="1:42" x14ac:dyDescent="0.2">
      <c r="A6" t="s">
        <v>198</v>
      </c>
      <c r="B6">
        <f>TREND(C6:D6,C1:D1,B1,TRUE)</f>
        <v>273013.69999999925</v>
      </c>
      <c r="C6">
        <v>287029</v>
      </c>
      <c r="D6">
        <v>301044.3</v>
      </c>
      <c r="E6">
        <v>324049.7</v>
      </c>
      <c r="F6">
        <v>335292.90000000002</v>
      </c>
      <c r="G6">
        <v>379877.2</v>
      </c>
      <c r="H6">
        <v>395889</v>
      </c>
      <c r="I6">
        <v>421747.20000000001</v>
      </c>
      <c r="J6">
        <v>448360</v>
      </c>
      <c r="K6">
        <v>480576</v>
      </c>
      <c r="L6">
        <v>499450</v>
      </c>
      <c r="M6">
        <v>517439</v>
      </c>
      <c r="N6" s="27">
        <f>M6+($R6-$M6)/5</f>
        <v>548082</v>
      </c>
      <c r="O6" s="27">
        <f t="shared" ref="O6:Q6" si="2">N6+($R6-$M6)/5</f>
        <v>578725</v>
      </c>
      <c r="P6" s="27">
        <f t="shared" si="2"/>
        <v>609368</v>
      </c>
      <c r="Q6" s="27">
        <f t="shared" si="2"/>
        <v>640011</v>
      </c>
      <c r="R6">
        <v>670654</v>
      </c>
      <c r="S6">
        <v>722625</v>
      </c>
      <c r="T6">
        <v>741167</v>
      </c>
      <c r="U6">
        <v>767956</v>
      </c>
      <c r="V6">
        <v>811056</v>
      </c>
      <c r="W6">
        <v>922451</v>
      </c>
      <c r="X6">
        <v>964489</v>
      </c>
      <c r="Y6">
        <v>1021167</v>
      </c>
      <c r="Z6">
        <v>1105446</v>
      </c>
      <c r="AA6">
        <f>TREND(Y6:Z6,Y1:Z1,AA1,TRUE)</f>
        <v>1189725</v>
      </c>
    </row>
    <row r="7" spans="1:42" x14ac:dyDescent="0.2">
      <c r="A7" s="71" t="s">
        <v>9</v>
      </c>
      <c r="B7" s="71"/>
      <c r="C7" s="71"/>
    </row>
    <row r="8" spans="1:42" x14ac:dyDescent="0.2">
      <c r="A8" s="71"/>
      <c r="B8" s="71"/>
      <c r="C8" s="71"/>
    </row>
    <row r="13" spans="1:42" x14ac:dyDescent="0.2">
      <c r="A13" t="s">
        <v>34</v>
      </c>
      <c r="B13">
        <v>1990</v>
      </c>
      <c r="C13">
        <v>1991</v>
      </c>
      <c r="D13">
        <v>1992</v>
      </c>
      <c r="E13">
        <v>1993</v>
      </c>
      <c r="F13">
        <v>1994</v>
      </c>
      <c r="G13">
        <v>1997</v>
      </c>
      <c r="H13">
        <v>1998</v>
      </c>
      <c r="I13">
        <v>1999</v>
      </c>
      <c r="J13">
        <v>2000</v>
      </c>
      <c r="K13">
        <v>1995</v>
      </c>
      <c r="L13">
        <v>1996</v>
      </c>
      <c r="M13">
        <v>2001</v>
      </c>
      <c r="N13">
        <v>2002</v>
      </c>
      <c r="O13">
        <v>2003</v>
      </c>
      <c r="P13">
        <v>2004</v>
      </c>
      <c r="Q13">
        <v>2005</v>
      </c>
      <c r="R13">
        <v>2006</v>
      </c>
      <c r="S13">
        <v>2007</v>
      </c>
      <c r="T13">
        <v>2008</v>
      </c>
      <c r="U13">
        <v>2009</v>
      </c>
      <c r="V13">
        <v>2010</v>
      </c>
      <c r="W13">
        <v>2011</v>
      </c>
      <c r="X13">
        <v>2012</v>
      </c>
      <c r="Y13">
        <v>2013</v>
      </c>
      <c r="Z13">
        <v>2014</v>
      </c>
      <c r="AA13">
        <v>2015</v>
      </c>
    </row>
    <row r="14" spans="1:42" x14ac:dyDescent="0.2">
      <c r="A14" t="s">
        <v>70</v>
      </c>
      <c r="B14" t="s">
        <v>50</v>
      </c>
    </row>
    <row r="15" spans="1:42" x14ac:dyDescent="0.2">
      <c r="A15" t="s">
        <v>89</v>
      </c>
      <c r="B15" s="29">
        <v>244920</v>
      </c>
      <c r="C15" s="29">
        <v>250405.21875</v>
      </c>
      <c r="D15" s="29">
        <v>263620.71875</v>
      </c>
      <c r="E15" s="29">
        <v>280949.28125</v>
      </c>
      <c r="F15" s="29">
        <v>300426.625</v>
      </c>
      <c r="G15" s="29">
        <v>353522.09375</v>
      </c>
      <c r="H15" s="29">
        <v>367600.09375</v>
      </c>
      <c r="I15" s="29">
        <v>383211.4375</v>
      </c>
      <c r="J15" s="29">
        <v>399245.5</v>
      </c>
      <c r="K15" s="29">
        <v>322140.78125</v>
      </c>
      <c r="L15" s="29">
        <v>339992.21875</v>
      </c>
      <c r="M15" s="29">
        <v>415411.375</v>
      </c>
      <c r="N15" s="29">
        <v>431856.8125</v>
      </c>
      <c r="O15" s="29">
        <v>447997.25</v>
      </c>
      <c r="P15" s="29">
        <v>464624.5</v>
      </c>
      <c r="Q15" s="29">
        <v>482075.65625</v>
      </c>
      <c r="R15" s="29">
        <v>499933.3125</v>
      </c>
      <c r="S15" s="29">
        <v>517824.46875</v>
      </c>
      <c r="T15" s="29">
        <v>543666.0625</v>
      </c>
      <c r="U15" s="29">
        <v>568112.9375</v>
      </c>
      <c r="V15" s="29">
        <v>605712.6875</v>
      </c>
      <c r="W15" s="29">
        <v>663504.9375</v>
      </c>
      <c r="X15" s="29">
        <v>751201.125</v>
      </c>
      <c r="Y15" s="29">
        <v>853223.5</v>
      </c>
      <c r="Z15" s="29">
        <v>954617.375</v>
      </c>
      <c r="AA15" s="29">
        <v>1066401.625</v>
      </c>
    </row>
    <row r="16" spans="1:42" x14ac:dyDescent="0.2">
      <c r="A16" t="s">
        <v>90</v>
      </c>
      <c r="B16" s="29">
        <v>246560</v>
      </c>
      <c r="C16" s="29">
        <v>266432</v>
      </c>
      <c r="D16" s="29">
        <v>279824</v>
      </c>
      <c r="E16" s="29">
        <v>299494</v>
      </c>
      <c r="F16" s="29">
        <v>327281</v>
      </c>
      <c r="G16" s="29">
        <v>390330</v>
      </c>
      <c r="H16" s="29">
        <v>420235</v>
      </c>
      <c r="I16" s="29">
        <v>450594</v>
      </c>
      <c r="J16" s="29">
        <v>467409</v>
      </c>
      <c r="K16" s="29">
        <v>354045</v>
      </c>
      <c r="L16" s="29">
        <v>365900</v>
      </c>
      <c r="M16" s="29">
        <v>483350</v>
      </c>
      <c r="N16" s="29">
        <v>497589</v>
      </c>
      <c r="O16" s="29">
        <v>519398</v>
      </c>
      <c r="P16" s="29">
        <v>548115</v>
      </c>
      <c r="Q16" s="29">
        <v>578819</v>
      </c>
      <c r="R16" s="29">
        <v>624495</v>
      </c>
      <c r="S16" s="29">
        <v>666007</v>
      </c>
      <c r="T16" s="29">
        <v>691038</v>
      </c>
      <c r="U16" s="29">
        <v>746644</v>
      </c>
      <c r="V16" s="29">
        <v>788355</v>
      </c>
      <c r="W16" s="29">
        <v>857886</v>
      </c>
      <c r="X16" s="29">
        <v>911209</v>
      </c>
      <c r="Y16" s="29">
        <v>959829</v>
      </c>
      <c r="Z16" s="29">
        <v>1030800</v>
      </c>
      <c r="AA16" s="29">
        <v>1086870.375</v>
      </c>
    </row>
    <row r="17" spans="1:44" x14ac:dyDescent="0.2">
      <c r="A17" t="s">
        <v>91</v>
      </c>
      <c r="B17" s="29">
        <f>B16/B15</f>
        <v>1.0066960640209048</v>
      </c>
      <c r="C17" s="29">
        <f>C16/C15</f>
        <v>1.0640033835157439</v>
      </c>
      <c r="D17" s="29">
        <f>D16/D15</f>
        <v>1.0614643694426995</v>
      </c>
      <c r="E17" s="29">
        <f>E16/E15</f>
        <v>1.0660073543078339</v>
      </c>
      <c r="F17" s="29">
        <f>F16/F15</f>
        <v>1.0893874669064367</v>
      </c>
      <c r="G17" s="29">
        <f t="shared" ref="G17:J17" si="3">G16/G15</f>
        <v>1.1041176970286599</v>
      </c>
      <c r="H17" s="29">
        <f t="shared" si="3"/>
        <v>1.1431852361979982</v>
      </c>
      <c r="I17" s="29">
        <f t="shared" si="3"/>
        <v>1.1758365119256129</v>
      </c>
      <c r="J17" s="29">
        <f t="shared" si="3"/>
        <v>1.1707307909544378</v>
      </c>
      <c r="K17" s="29">
        <f>K16/K15</f>
        <v>1.0990381243448977</v>
      </c>
      <c r="L17" s="29">
        <f>L16/L15</f>
        <v>1.0762011005582757</v>
      </c>
      <c r="M17" s="29">
        <f t="shared" ref="M17:P17" si="4">M16/M15</f>
        <v>1.1635454132665481</v>
      </c>
      <c r="N17" s="29">
        <f t="shared" si="4"/>
        <v>1.1522082912608911</v>
      </c>
      <c r="O17" s="29">
        <f t="shared" si="4"/>
        <v>1.1593776524297861</v>
      </c>
      <c r="P17" s="29">
        <f t="shared" si="4"/>
        <v>1.1796945705618194</v>
      </c>
      <c r="Q17" s="29">
        <f t="shared" ref="Q17" si="5">Q16/Q15</f>
        <v>1.2006808319311395</v>
      </c>
      <c r="R17" s="29">
        <f t="shared" ref="R17" si="6">R16/R15</f>
        <v>1.2491566062623602</v>
      </c>
      <c r="S17" s="29">
        <f t="shared" ref="S17" si="7">S16/S15</f>
        <v>1.2861636330312944</v>
      </c>
      <c r="T17" s="29">
        <f t="shared" ref="T17" si="8">T16/T15</f>
        <v>1.2710706951659319</v>
      </c>
      <c r="U17" s="29">
        <f t="shared" ref="U17" si="9">U16/U15</f>
        <v>1.3142527668629267</v>
      </c>
      <c r="V17" s="29">
        <f t="shared" ref="V17" si="10">V16/V15</f>
        <v>1.3015329153064834</v>
      </c>
      <c r="W17" s="29">
        <f t="shared" ref="W17" si="11">W16/W15</f>
        <v>1.2929609887040214</v>
      </c>
      <c r="X17" s="29">
        <f t="shared" ref="X17" si="12">X16/X15</f>
        <v>1.2130027094940785</v>
      </c>
      <c r="Y17" s="29">
        <f t="shared" ref="Y17" si="13">Y16/Y15</f>
        <v>1.1249444020236199</v>
      </c>
      <c r="Z17" s="29">
        <f t="shared" ref="Z17" si="14">Z16/Z15</f>
        <v>1.0798043561694024</v>
      </c>
      <c r="AA17" s="29">
        <f t="shared" ref="AA17" si="15">AA16/AA15</f>
        <v>1.0191942224394117</v>
      </c>
    </row>
    <row r="21" spans="1:44" x14ac:dyDescent="0.2">
      <c r="B21">
        <v>0</v>
      </c>
      <c r="C21">
        <v>1</v>
      </c>
      <c r="D21">
        <v>2</v>
      </c>
      <c r="E21">
        <v>3</v>
      </c>
      <c r="F21">
        <v>4</v>
      </c>
      <c r="G21">
        <v>5</v>
      </c>
      <c r="H21">
        <v>6</v>
      </c>
      <c r="I21">
        <v>7</v>
      </c>
      <c r="J21">
        <v>8</v>
      </c>
      <c r="K21">
        <v>9</v>
      </c>
      <c r="L21">
        <v>10</v>
      </c>
      <c r="M21">
        <v>11</v>
      </c>
      <c r="N21">
        <v>12</v>
      </c>
      <c r="O21">
        <v>13</v>
      </c>
      <c r="P21">
        <v>14</v>
      </c>
      <c r="Q21">
        <v>15</v>
      </c>
      <c r="R21">
        <v>16</v>
      </c>
      <c r="S21">
        <v>17</v>
      </c>
      <c r="T21">
        <v>18</v>
      </c>
      <c r="U21">
        <v>19</v>
      </c>
      <c r="V21">
        <v>20</v>
      </c>
      <c r="W21">
        <v>21</v>
      </c>
      <c r="X21">
        <v>22</v>
      </c>
      <c r="Y21">
        <v>23</v>
      </c>
      <c r="Z21">
        <v>24</v>
      </c>
      <c r="AA21">
        <v>25</v>
      </c>
      <c r="AB21">
        <v>26</v>
      </c>
      <c r="AC21">
        <v>27</v>
      </c>
      <c r="AD21">
        <v>28</v>
      </c>
      <c r="AE21">
        <v>29</v>
      </c>
      <c r="AF21">
        <v>30</v>
      </c>
      <c r="AG21">
        <v>31</v>
      </c>
      <c r="AH21">
        <v>32</v>
      </c>
      <c r="AI21">
        <v>33</v>
      </c>
      <c r="AJ21">
        <v>34</v>
      </c>
      <c r="AK21">
        <v>35</v>
      </c>
      <c r="AL21">
        <v>36</v>
      </c>
      <c r="AM21">
        <v>37</v>
      </c>
      <c r="AN21">
        <v>38</v>
      </c>
      <c r="AO21">
        <v>39</v>
      </c>
      <c r="AP21">
        <v>40</v>
      </c>
    </row>
    <row r="22" spans="1:44" x14ac:dyDescent="0.2">
      <c r="B22" s="10">
        <v>1990</v>
      </c>
      <c r="C22" s="10">
        <v>1991</v>
      </c>
      <c r="D22" s="10">
        <v>1992</v>
      </c>
      <c r="E22" s="10">
        <v>1993</v>
      </c>
      <c r="F22" s="10">
        <v>1994</v>
      </c>
      <c r="G22" s="10">
        <v>1995</v>
      </c>
      <c r="H22" s="10">
        <v>1996</v>
      </c>
      <c r="I22" s="10">
        <v>1997</v>
      </c>
      <c r="J22" s="10">
        <v>1998</v>
      </c>
      <c r="K22" s="10">
        <v>1999</v>
      </c>
      <c r="L22" s="10">
        <v>2000</v>
      </c>
      <c r="M22" s="10">
        <v>2001</v>
      </c>
      <c r="N22" s="10">
        <v>2002</v>
      </c>
      <c r="O22" s="10">
        <v>2003</v>
      </c>
      <c r="P22" s="10">
        <v>2004</v>
      </c>
      <c r="Q22" s="10">
        <v>2005</v>
      </c>
      <c r="R22" s="10">
        <v>2006</v>
      </c>
      <c r="S22" s="10">
        <v>2007</v>
      </c>
      <c r="T22" s="10">
        <v>2008</v>
      </c>
      <c r="U22" s="10">
        <v>2009</v>
      </c>
      <c r="V22" s="10">
        <v>2010</v>
      </c>
      <c r="W22" s="10">
        <v>2011</v>
      </c>
      <c r="X22" s="10">
        <v>2012</v>
      </c>
      <c r="Y22" s="10">
        <v>2013</v>
      </c>
      <c r="Z22" s="10">
        <v>2014</v>
      </c>
      <c r="AA22" s="10">
        <v>2015</v>
      </c>
      <c r="AB22" s="10">
        <v>2016</v>
      </c>
      <c r="AC22" s="10">
        <v>2017</v>
      </c>
      <c r="AD22" s="10">
        <v>2018</v>
      </c>
      <c r="AE22" s="10">
        <v>2019</v>
      </c>
      <c r="AF22" s="10">
        <v>2020</v>
      </c>
      <c r="AG22" s="10">
        <v>2021</v>
      </c>
      <c r="AH22" s="10">
        <v>2022</v>
      </c>
      <c r="AI22" s="10">
        <v>2023</v>
      </c>
      <c r="AJ22" s="10">
        <v>2024</v>
      </c>
      <c r="AK22" s="10">
        <v>2025</v>
      </c>
      <c r="AL22" s="10">
        <v>2026</v>
      </c>
      <c r="AM22" s="10">
        <v>2027</v>
      </c>
      <c r="AN22" s="10">
        <v>2028</v>
      </c>
      <c r="AO22" s="10">
        <v>2029</v>
      </c>
      <c r="AP22" s="10">
        <v>2030</v>
      </c>
    </row>
    <row r="23" spans="1:44" x14ac:dyDescent="0.2">
      <c r="A23" t="s">
        <v>17</v>
      </c>
      <c r="B23" s="19">
        <v>246560</v>
      </c>
      <c r="C23" s="41">
        <v>266432</v>
      </c>
      <c r="D23" s="19">
        <v>279824</v>
      </c>
      <c r="E23" s="19">
        <v>299494</v>
      </c>
      <c r="F23" s="19">
        <v>327281</v>
      </c>
      <c r="G23" s="19">
        <v>354045</v>
      </c>
      <c r="H23" s="19">
        <v>365900</v>
      </c>
      <c r="I23" s="19">
        <v>390330</v>
      </c>
      <c r="J23" s="19">
        <v>420235</v>
      </c>
      <c r="K23" s="19">
        <v>450594</v>
      </c>
      <c r="L23" s="19">
        <v>467409</v>
      </c>
      <c r="M23" s="19">
        <v>483350</v>
      </c>
      <c r="N23" s="19">
        <v>497589</v>
      </c>
      <c r="O23" s="19">
        <v>519398</v>
      </c>
      <c r="P23" s="19">
        <v>548115</v>
      </c>
      <c r="Q23" s="19">
        <v>578819</v>
      </c>
      <c r="R23" s="19">
        <v>624495</v>
      </c>
      <c r="S23" s="19">
        <v>666007</v>
      </c>
      <c r="T23" s="19">
        <v>691038</v>
      </c>
      <c r="U23" s="19">
        <v>746644</v>
      </c>
      <c r="V23" s="19">
        <v>788355</v>
      </c>
      <c r="W23" s="19">
        <v>857886</v>
      </c>
      <c r="X23" s="19">
        <v>911209</v>
      </c>
      <c r="Y23" s="19">
        <v>959829</v>
      </c>
      <c r="Z23" s="19">
        <v>1030800</v>
      </c>
      <c r="AA23" s="19">
        <f>TREND(X23:Z23,X22:Z22,AA22,TRUE)</f>
        <v>1086870.3333333284</v>
      </c>
      <c r="AB23" s="28">
        <f>GROWTH($B23:AA23,$B22:AA22,AB22,TRUE)</f>
        <v>1128559.5014369895</v>
      </c>
      <c r="AC23" s="28">
        <f>GROWTH($B23:AB23,$B22:AB22,AC22,TRUE)</f>
        <v>1194906.488138736</v>
      </c>
      <c r="AD23" s="28">
        <f>GROWTH($B23:AC23,$B22:AC22,AD22,TRUE)</f>
        <v>1265153.9538482765</v>
      </c>
      <c r="AE23" s="28">
        <f>GROWTH($B23:AD23,$B22:AD22,AE22,TRUE)</f>
        <v>1339531.2041790844</v>
      </c>
      <c r="AF23" s="28">
        <f>GROWTH($B23:AE23,$B22:AE22,AF22,TRUE)</f>
        <v>1418281.0254132168</v>
      </c>
      <c r="AG23" s="28">
        <f>GROWTH($B23:AF23,$B22:AF22,AG22,TRUE)</f>
        <v>1501660.4770172895</v>
      </c>
      <c r="AH23" s="28">
        <f>GROWTH($B23:AG23,$B22:AG22,AH22,TRUE)</f>
        <v>1589941.7307503405</v>
      </c>
      <c r="AI23" s="28">
        <f>GROWTH($B23:AH23,$B22:AH22,AI22,TRUE)</f>
        <v>1683412.9591014618</v>
      </c>
      <c r="AJ23" s="28">
        <f>GROWTH($B23:AI23,$B22:AI22,AJ22,TRUE)</f>
        <v>1782379.2759582885</v>
      </c>
      <c r="AK23" s="28">
        <f>GROWTH($B23:AJ23,$B22:AJ22,AK22,TRUE)</f>
        <v>1887163.7325765698</v>
      </c>
      <c r="AL23" s="28">
        <f>GROWTH($B23:AK23,$B22:AK22,AL22,TRUE)</f>
        <v>1998108.3721013956</v>
      </c>
      <c r="AM23" s="28">
        <f>GROWTH($B23:AL23,$B22:AL22,AM22,TRUE)</f>
        <v>2115575.3460833849</v>
      </c>
      <c r="AN23" s="28">
        <f>GROWTH($B23:AM23,$B22:AM22,AN22,TRUE)</f>
        <v>2239948.0966334576</v>
      </c>
      <c r="AO23" s="28">
        <f>GROWTH($B23:AN23,$B22:AN22,AO22,TRUE)</f>
        <v>2371632.6080753771</v>
      </c>
      <c r="AP23" s="28">
        <f>GROWTH($B23:AO23,$B22:AO22,AP22,TRUE)</f>
        <v>2511058.7321823048</v>
      </c>
    </row>
    <row r="24" spans="1:44" x14ac:dyDescent="0.2">
      <c r="A24" t="s">
        <v>28</v>
      </c>
      <c r="B24" s="19">
        <v>172643</v>
      </c>
      <c r="C24" s="32">
        <f t="shared" ref="C24:C25" si="16">B24+(D24-B24)/2</f>
        <v>184903</v>
      </c>
      <c r="D24" s="19">
        <v>197163</v>
      </c>
      <c r="E24" s="32">
        <f>D24+($I24-$D24)/5</f>
        <v>215606</v>
      </c>
      <c r="F24" s="32">
        <f t="shared" ref="F24:H24" si="17">E24+($I24-$D24)/5</f>
        <v>234049</v>
      </c>
      <c r="G24" s="32">
        <f t="shared" si="17"/>
        <v>252492</v>
      </c>
      <c r="H24" s="32">
        <f t="shared" si="17"/>
        <v>270935</v>
      </c>
      <c r="I24" s="19">
        <v>289378</v>
      </c>
      <c r="J24" s="32">
        <f>I24+($N24-$I24)/5</f>
        <v>305679.2</v>
      </c>
      <c r="K24" s="32">
        <f t="shared" ref="K24:M24" si="18">J24+($N24-$I24)/5</f>
        <v>321980.40000000002</v>
      </c>
      <c r="L24" s="32">
        <f t="shared" si="18"/>
        <v>338281.60000000003</v>
      </c>
      <c r="M24" s="32">
        <f t="shared" si="18"/>
        <v>354582.80000000005</v>
      </c>
      <c r="N24" s="19">
        <v>370884</v>
      </c>
      <c r="O24" s="32">
        <f>N24+($S24-$N24)/5</f>
        <v>389066</v>
      </c>
      <c r="P24" s="32">
        <f t="shared" ref="P24:R24" si="19">O24+($S24-$N24)/5</f>
        <v>407248</v>
      </c>
      <c r="Q24" s="32">
        <f t="shared" si="19"/>
        <v>425430</v>
      </c>
      <c r="R24" s="32">
        <f t="shared" si="19"/>
        <v>443612</v>
      </c>
      <c r="S24" s="19">
        <v>461794</v>
      </c>
      <c r="T24" s="32">
        <f>S24+($X24-$S24)/5</f>
        <v>491934.6</v>
      </c>
      <c r="U24" s="32">
        <f t="shared" ref="U24:W24" si="20">T24+($X24-$S24)/5</f>
        <v>522075.19999999995</v>
      </c>
      <c r="V24" s="32">
        <f t="shared" si="20"/>
        <v>552215.79999999993</v>
      </c>
      <c r="W24" s="32">
        <f t="shared" si="20"/>
        <v>582356.39999999991</v>
      </c>
      <c r="X24" s="19">
        <v>612497</v>
      </c>
      <c r="Y24" s="19">
        <v>691341</v>
      </c>
      <c r="Z24" s="19">
        <v>746087</v>
      </c>
      <c r="AA24" s="19">
        <v>835838</v>
      </c>
      <c r="AB24" s="28">
        <f>GROWTH($B24:AA24,$B22:AA22,AB22,TRUE)</f>
        <v>809582.88769647537</v>
      </c>
      <c r="AC24" s="28">
        <f>GROWTH($B24:AB24,$B22:AB22,AC22,TRUE)</f>
        <v>857110.4649369563</v>
      </c>
      <c r="AD24" s="28">
        <f>GROWTH($B24:AC24,$B22:AC22,AD22,TRUE)</f>
        <v>907428.20811681019</v>
      </c>
      <c r="AE24" s="28">
        <f>GROWTH($B24:AD24,$B22:AD22,AE22,TRUE)</f>
        <v>960699.91742155561</v>
      </c>
      <c r="AF24" s="28">
        <f>GROWTH($B24:AE24,$B22:AE22,AF22,TRUE)</f>
        <v>1017099.0091317388</v>
      </c>
      <c r="AG24" s="28">
        <f>GROWTH($B24:AF24,$B22:AF22,AG22,TRUE)</f>
        <v>1076809.0801477763</v>
      </c>
      <c r="AH24" s="28">
        <f>GROWTH($B24:AG24,$B22:AG22,AH22,TRUE)</f>
        <v>1140024.5056560973</v>
      </c>
      <c r="AI24" s="28">
        <f>GROWTH($B24:AH24,$B22:AH22,AI22,TRUE)</f>
        <v>1206951.0718817967</v>
      </c>
      <c r="AJ24" s="28">
        <f>GROWTH($B24:AI24,$B22:AI22,AJ22,TRUE)</f>
        <v>1277806.645988082</v>
      </c>
      <c r="AK24" s="28">
        <f>GROWTH($B24:AJ24,$B22:AJ22,AK22,TRUE)</f>
        <v>1352821.8853027346</v>
      </c>
      <c r="AL24" s="28">
        <f>GROWTH($B24:AK24,$B22:AK22,AL22,TRUE)</f>
        <v>1432240.9881808632</v>
      </c>
      <c r="AM24" s="28">
        <f>GROWTH($B24:AL24,$B22:AL22,AM22,TRUE)</f>
        <v>1516322.4889478202</v>
      </c>
      <c r="AN24" s="28">
        <f>GROWTH($B24:AM24,$B22:AM22,AN22,TRUE)</f>
        <v>1605340.0995102171</v>
      </c>
      <c r="AO24" s="28">
        <f>GROWTH($B24:AN24,$B22:AN22,AO22,TRUE)</f>
        <v>1699583.6003749717</v>
      </c>
      <c r="AP24" s="28">
        <f>GROWTH($B24:AO24,$B22:AO22,AP22,TRUE)</f>
        <v>1799359.783976547</v>
      </c>
    </row>
    <row r="25" spans="1:44" x14ac:dyDescent="0.2">
      <c r="A25" t="s">
        <v>29</v>
      </c>
      <c r="B25" s="19">
        <v>5962</v>
      </c>
      <c r="C25" s="32">
        <f t="shared" si="16"/>
        <v>8706</v>
      </c>
      <c r="D25" s="19">
        <v>11450</v>
      </c>
      <c r="E25" s="32">
        <f t="shared" ref="E25:H26" si="21">D25+($I25-$D25)/5</f>
        <v>14557</v>
      </c>
      <c r="F25" s="32">
        <f t="shared" si="21"/>
        <v>17664</v>
      </c>
      <c r="G25" s="32">
        <f t="shared" si="21"/>
        <v>20771</v>
      </c>
      <c r="H25" s="32">
        <f t="shared" si="21"/>
        <v>23878</v>
      </c>
      <c r="I25" s="19">
        <v>26985</v>
      </c>
      <c r="J25" s="32">
        <f t="shared" ref="J25:M25" si="22">I25+($N25-$I25)/5</f>
        <v>31007.8</v>
      </c>
      <c r="K25" s="32">
        <f t="shared" si="22"/>
        <v>35030.6</v>
      </c>
      <c r="L25" s="32">
        <f t="shared" si="22"/>
        <v>39053.4</v>
      </c>
      <c r="M25" s="32">
        <f t="shared" si="22"/>
        <v>43076.200000000004</v>
      </c>
      <c r="N25" s="19">
        <v>47099</v>
      </c>
      <c r="O25" s="32">
        <f t="shared" ref="O25:R25" si="23">N25+($S25-$N25)/5</f>
        <v>50510.6</v>
      </c>
      <c r="P25" s="32">
        <f t="shared" si="23"/>
        <v>53922.2</v>
      </c>
      <c r="Q25" s="32">
        <f t="shared" si="23"/>
        <v>57333.799999999996</v>
      </c>
      <c r="R25" s="32">
        <f t="shared" si="23"/>
        <v>60745.399999999994</v>
      </c>
      <c r="S25" s="19">
        <v>64157</v>
      </c>
      <c r="T25" s="32">
        <f t="shared" ref="T25:W25" si="24">S25+($X25-$S25)/5</f>
        <v>69981.8</v>
      </c>
      <c r="U25" s="32">
        <f t="shared" si="24"/>
        <v>75806.600000000006</v>
      </c>
      <c r="V25" s="32">
        <f t="shared" si="24"/>
        <v>81631.400000000009</v>
      </c>
      <c r="W25" s="32">
        <f t="shared" si="24"/>
        <v>87456.200000000012</v>
      </c>
      <c r="X25" s="19">
        <v>93281</v>
      </c>
      <c r="Y25" s="19">
        <v>66664</v>
      </c>
      <c r="Z25" s="19">
        <v>44522</v>
      </c>
      <c r="AA25" s="19">
        <v>41075</v>
      </c>
      <c r="AB25" s="28">
        <f>GROWTH($B25:AA25,$B22:AA22,AB22,TRUE)</f>
        <v>113188.63354948338</v>
      </c>
      <c r="AC25" s="28">
        <f>GROWTH($B25:AB25,$B22:AB22,AC22,TRUE)</f>
        <v>123050.75694344053</v>
      </c>
      <c r="AD25" s="28">
        <f>GROWTH($B25:AC25,$B22:AC22,AD22,TRUE)</f>
        <v>133772.16695291005</v>
      </c>
      <c r="AE25" s="28">
        <f>GROWTH($B25:AD25,$B22:AD22,AE22,TRUE)</f>
        <v>145427.73320364507</v>
      </c>
      <c r="AF25" s="28">
        <f>GROWTH($B25:AE25,$B22:AE22,AF22,TRUE)</f>
        <v>158098.84871040052</v>
      </c>
      <c r="AG25" s="28">
        <f>GROWTH($B25:AF25,$B22:AF22,AG22,TRUE)</f>
        <v>171873.99825969108</v>
      </c>
      <c r="AH25" s="28">
        <f>GROWTH($B25:AG25,$B22:AG22,AH22,TRUE)</f>
        <v>186849.37631572899</v>
      </c>
      <c r="AI25" s="28">
        <f>GROWTH($B25:AH25,$B22:AH22,AI22,TRUE)</f>
        <v>203129.55876446757</v>
      </c>
      <c r="AJ25" s="28">
        <f>GROWTH($B25:AI25,$B22:AI22,AJ22,TRUE)</f>
        <v>220828.23318674293</v>
      </c>
      <c r="AK25" s="28">
        <f>GROWTH($B25:AJ25,$B22:AJ22,AK22,TRUE)</f>
        <v>240068.99276005384</v>
      </c>
      <c r="AL25" s="28">
        <f>GROWTH($B25:AK25,$B22:AK22,AL22,TRUE)</f>
        <v>260986.1993329729</v>
      </c>
      <c r="AM25" s="28">
        <f>GROWTH($B25:AL25,$B22:AL22,AM22,TRUE)</f>
        <v>283725.92169932195</v>
      </c>
      <c r="AN25" s="28">
        <f>GROWTH($B25:AM25,$B22:AM22,AN22,TRUE)</f>
        <v>308446.95562398422</v>
      </c>
      <c r="AO25" s="28">
        <f>GROWTH($B25:AN25,$B22:AN22,AO22,TRUE)</f>
        <v>335321.93274368008</v>
      </c>
      <c r="AP25" s="28">
        <f>GROWTH($B25:AO25,$B22:AO22,AP22,TRUE)</f>
        <v>364538.52608625684</v>
      </c>
    </row>
    <row r="26" spans="1:44" x14ac:dyDescent="0.2">
      <c r="A26" t="s">
        <v>140</v>
      </c>
      <c r="B26" s="19">
        <f>62116+4625</f>
        <v>66741</v>
      </c>
      <c r="C26" s="32">
        <f>B26+(D26-B26)/2</f>
        <v>72511.5</v>
      </c>
      <c r="D26" s="19">
        <f>72757+5525</f>
        <v>78282</v>
      </c>
      <c r="E26" s="32">
        <f t="shared" si="21"/>
        <v>78220</v>
      </c>
      <c r="F26" s="32">
        <f t="shared" si="21"/>
        <v>78158</v>
      </c>
      <c r="G26" s="32">
        <f t="shared" si="21"/>
        <v>78096</v>
      </c>
      <c r="H26" s="32">
        <f t="shared" si="21"/>
        <v>78034</v>
      </c>
      <c r="I26" s="19">
        <f>68901+9071</f>
        <v>77972</v>
      </c>
      <c r="J26" s="32">
        <f t="shared" ref="J26:M26" si="25">I26+($N26-$I26)/5</f>
        <v>80988.399999999994</v>
      </c>
      <c r="K26" s="32">
        <f t="shared" si="25"/>
        <v>84004.799999999988</v>
      </c>
      <c r="L26" s="32">
        <f t="shared" si="25"/>
        <v>87021.199999999983</v>
      </c>
      <c r="M26" s="32">
        <f t="shared" si="25"/>
        <v>90037.599999999977</v>
      </c>
      <c r="N26" s="19">
        <f>73579+19475</f>
        <v>93054</v>
      </c>
      <c r="O26" s="32">
        <f t="shared" ref="O26:R26" si="26">N26+($S26-$N26)/5</f>
        <v>100904</v>
      </c>
      <c r="P26" s="32">
        <f t="shared" si="26"/>
        <v>108754</v>
      </c>
      <c r="Q26" s="32">
        <f t="shared" si="26"/>
        <v>116604</v>
      </c>
      <c r="R26" s="32">
        <f t="shared" si="26"/>
        <v>124454</v>
      </c>
      <c r="S26" s="19">
        <f>113502+18802</f>
        <v>132304</v>
      </c>
      <c r="T26" s="41">
        <f>120386+16957</f>
        <v>137343</v>
      </c>
      <c r="U26" s="41">
        <f>110098+14927</f>
        <v>125025</v>
      </c>
      <c r="V26" s="41">
        <f>104059+18636</f>
        <v>122695</v>
      </c>
      <c r="W26" s="41">
        <f>114415+26266</f>
        <v>140681</v>
      </c>
      <c r="X26" s="19">
        <f>130511+32286</f>
        <v>162797</v>
      </c>
      <c r="Y26" s="19">
        <f>113720+32286</f>
        <v>146006</v>
      </c>
      <c r="Z26" s="19">
        <f>134847+32286</f>
        <v>167133</v>
      </c>
      <c r="AA26" s="19">
        <f>129244+36102</f>
        <v>165346</v>
      </c>
      <c r="AB26" s="28">
        <f>GROWTH($B26:AA26,$B22:AA22,AB22,TRUE)</f>
        <v>169259.7212825912</v>
      </c>
      <c r="AC26" s="28">
        <f>GROWTH($B26:AB26,$B22:AB22,AC22,TRUE)</f>
        <v>175584.45980992782</v>
      </c>
      <c r="AD26" s="28">
        <f>GROWTH($B26:AC26,$B22:AC22,AD22,TRUE)</f>
        <v>182145.5352350006</v>
      </c>
      <c r="AE26" s="28">
        <f>GROWTH($B26:AD26,$B22:AD22,AE22,TRUE)</f>
        <v>188951.77877335146</v>
      </c>
      <c r="AF26" s="28">
        <f>GROWTH($B26:AE26,$B22:AE22,AF22,TRUE)</f>
        <v>196012.35163712109</v>
      </c>
      <c r="AG26" s="28">
        <f>GROWTH($B26:AF26,$B22:AF22,AG22,TRUE)</f>
        <v>203336.75736601473</v>
      </c>
      <c r="AH26" s="28">
        <f>GROWTH($B26:AG26,$B22:AG22,AH22,TRUE)</f>
        <v>210934.85461910767</v>
      </c>
      <c r="AI26" s="28">
        <f>GROWTH($B26:AH26,$B22:AH22,AI22,TRUE)</f>
        <v>218816.87044460047</v>
      </c>
      <c r="AJ26" s="28">
        <f>GROWTH($B26:AI26,$B22:AI22,AJ22,TRUE)</f>
        <v>226993.41404543488</v>
      </c>
      <c r="AK26" s="28">
        <f>GROWTH($B26:AJ26,$B22:AJ22,AK22,TRUE)</f>
        <v>235475.49105930328</v>
      </c>
      <c r="AL26" s="28">
        <f>GROWTH($B26:AK26,$B22:AK22,AL22,TRUE)</f>
        <v>244274.51837224417</v>
      </c>
      <c r="AM26" s="28">
        <f>GROWTH($B26:AL26,$B22:AL22,AM22,TRUE)</f>
        <v>253402.33948578654</v>
      </c>
      <c r="AN26" s="28">
        <f>GROWTH($B26:AM26,$B22:AM22,AN22,TRUE)</f>
        <v>262871.24045831716</v>
      </c>
      <c r="AO26" s="28">
        <f>GROWTH($B26:AN26,$B22:AN22,AO22,TRUE)</f>
        <v>272693.96644213039</v>
      </c>
      <c r="AP26" s="28">
        <f>GROWTH($B26:AO26,$B22:AO22,AP22,TRUE)</f>
        <v>282883.73883841856</v>
      </c>
    </row>
    <row r="27" spans="1:44" x14ac:dyDescent="0.2">
      <c r="A27" t="s">
        <v>141</v>
      </c>
      <c r="B27" s="19">
        <f>B28-B32</f>
        <v>0</v>
      </c>
      <c r="C27" s="32">
        <f t="shared" ref="C27:C28" si="27">B27+(D27-B27)/2</f>
        <v>-5.5</v>
      </c>
      <c r="D27" s="19">
        <f t="shared" ref="D27:AA27" si="28">D28-D32</f>
        <v>-11</v>
      </c>
      <c r="E27" s="19"/>
      <c r="F27" s="19"/>
      <c r="G27" s="19"/>
      <c r="H27" s="19"/>
      <c r="I27" s="19">
        <f t="shared" si="28"/>
        <v>-162</v>
      </c>
      <c r="J27" s="19"/>
      <c r="K27" s="19"/>
      <c r="L27" s="19"/>
      <c r="M27" s="19"/>
      <c r="N27" s="19">
        <f t="shared" si="28"/>
        <v>338</v>
      </c>
      <c r="O27" s="19"/>
      <c r="P27" s="19"/>
      <c r="Q27" s="19"/>
      <c r="R27" s="19"/>
      <c r="S27" s="19">
        <f t="shared" si="28"/>
        <v>-4675</v>
      </c>
      <c r="T27" s="19"/>
      <c r="U27" s="19"/>
      <c r="V27" s="19"/>
      <c r="W27" s="19"/>
      <c r="X27" s="19">
        <f t="shared" si="28"/>
        <v>13302</v>
      </c>
      <c r="Y27" s="19">
        <f t="shared" si="28"/>
        <v>14846</v>
      </c>
      <c r="Z27" s="19">
        <f t="shared" si="28"/>
        <v>12609</v>
      </c>
      <c r="AA27" s="19">
        <f t="shared" si="28"/>
        <v>9251</v>
      </c>
    </row>
    <row r="28" spans="1:44" x14ac:dyDescent="0.2">
      <c r="A28" t="s">
        <v>142</v>
      </c>
      <c r="B28" s="19">
        <v>0</v>
      </c>
      <c r="C28" s="32">
        <f t="shared" si="27"/>
        <v>19</v>
      </c>
      <c r="D28" s="19">
        <v>38</v>
      </c>
      <c r="E28" s="32">
        <f t="shared" ref="E28:H28" si="29">D28+($I28-$D28)/5</f>
        <v>205.6</v>
      </c>
      <c r="F28" s="32">
        <f t="shared" si="29"/>
        <v>373.2</v>
      </c>
      <c r="G28" s="32">
        <f t="shared" si="29"/>
        <v>540.79999999999995</v>
      </c>
      <c r="H28" s="32">
        <f t="shared" si="29"/>
        <v>708.4</v>
      </c>
      <c r="I28" s="19">
        <v>876</v>
      </c>
      <c r="J28" s="32">
        <f t="shared" ref="J28:M28" si="30">I28+($N28-$I28)/5</f>
        <v>1117.8</v>
      </c>
      <c r="K28" s="32">
        <f t="shared" si="30"/>
        <v>1359.6</v>
      </c>
      <c r="L28" s="32">
        <f t="shared" si="30"/>
        <v>1601.3999999999999</v>
      </c>
      <c r="M28" s="32">
        <f t="shared" si="30"/>
        <v>1843.1999999999998</v>
      </c>
      <c r="N28" s="19">
        <v>2085</v>
      </c>
      <c r="O28" s="32">
        <f t="shared" ref="O28:R28" si="31">N28+($S28-$N28)/5</f>
        <v>3640</v>
      </c>
      <c r="P28" s="32">
        <f t="shared" si="31"/>
        <v>5195</v>
      </c>
      <c r="Q28" s="32">
        <f t="shared" si="31"/>
        <v>6750</v>
      </c>
      <c r="R28" s="32">
        <f t="shared" si="31"/>
        <v>8305</v>
      </c>
      <c r="S28" s="19">
        <v>9860</v>
      </c>
      <c r="T28" s="32">
        <f t="shared" ref="T28:W28" si="32">S28+($X28-$S28)/5</f>
        <v>18133.2</v>
      </c>
      <c r="U28" s="32">
        <f t="shared" si="32"/>
        <v>26406.400000000001</v>
      </c>
      <c r="V28" s="32">
        <f t="shared" si="32"/>
        <v>34679.600000000006</v>
      </c>
      <c r="W28" s="32">
        <f t="shared" si="32"/>
        <v>42952.800000000003</v>
      </c>
      <c r="X28" s="19">
        <v>51226</v>
      </c>
      <c r="Y28" s="19">
        <v>57449</v>
      </c>
      <c r="Z28" s="19">
        <v>59615</v>
      </c>
      <c r="AA28" s="19">
        <v>61780</v>
      </c>
      <c r="AB28" s="27">
        <f>6.6754*AB21^3 - 65.168*AB21^2 - 166.62*AB21 + 1420.3</f>
        <v>70361.442399999985</v>
      </c>
      <c r="AC28" s="27">
        <f t="shared" ref="AC28:AP28" si="33">6.6754*AC21^3 - 65.168*AC21^2 - 166.62*AC21 + 1420.3</f>
        <v>80805.986199999985</v>
      </c>
      <c r="AD28" s="27">
        <f t="shared" si="33"/>
        <v>92201.608799999987</v>
      </c>
      <c r="AE28" s="27">
        <f t="shared" si="33"/>
        <v>104588.36259999999</v>
      </c>
      <c r="AF28" s="27">
        <f t="shared" si="33"/>
        <v>118006.29999999997</v>
      </c>
      <c r="AG28" s="27">
        <f t="shared" si="33"/>
        <v>132495.47339999999</v>
      </c>
      <c r="AH28" s="27">
        <f t="shared" si="33"/>
        <v>148095.93519999998</v>
      </c>
      <c r="AI28" s="27">
        <f t="shared" si="33"/>
        <v>164847.73779999997</v>
      </c>
      <c r="AJ28" s="27">
        <f t="shared" si="33"/>
        <v>182790.93359999999</v>
      </c>
      <c r="AK28" s="27">
        <f t="shared" si="33"/>
        <v>201965.57499999995</v>
      </c>
      <c r="AL28" s="27">
        <f t="shared" si="33"/>
        <v>222411.7144</v>
      </c>
      <c r="AM28" s="27">
        <f t="shared" si="33"/>
        <v>244169.40419999993</v>
      </c>
      <c r="AN28" s="27">
        <f t="shared" si="33"/>
        <v>267278.69679999998</v>
      </c>
      <c r="AO28" s="27">
        <f t="shared" si="33"/>
        <v>291779.6446</v>
      </c>
      <c r="AP28" s="27">
        <f t="shared" si="33"/>
        <v>317712.29999999993</v>
      </c>
      <c r="AQ28" s="76" t="s">
        <v>197</v>
      </c>
      <c r="AR28" s="76"/>
    </row>
    <row r="29" spans="1:44" x14ac:dyDescent="0.2">
      <c r="A29" s="71" t="s">
        <v>9</v>
      </c>
      <c r="B29" s="71"/>
      <c r="C29" s="71"/>
      <c r="D29" s="71"/>
      <c r="AQ29" s="76"/>
      <c r="AR29" s="76"/>
    </row>
    <row r="30" spans="1:44" x14ac:dyDescent="0.2">
      <c r="A30" s="71"/>
      <c r="B30" s="71"/>
      <c r="C30" s="71"/>
      <c r="D30" s="71"/>
      <c r="AQ30" s="76"/>
      <c r="AR30" s="76"/>
    </row>
    <row r="32" spans="1:44" x14ac:dyDescent="0.2">
      <c r="A32" t="s">
        <v>143</v>
      </c>
      <c r="B32">
        <v>0</v>
      </c>
      <c r="D32">
        <v>49</v>
      </c>
      <c r="I32">
        <v>1038</v>
      </c>
      <c r="N32">
        <v>1747</v>
      </c>
      <c r="S32">
        <v>14535</v>
      </c>
      <c r="X32">
        <v>37924</v>
      </c>
      <c r="Y32">
        <v>42603</v>
      </c>
      <c r="Z32">
        <v>47006</v>
      </c>
      <c r="AA32">
        <v>52529</v>
      </c>
    </row>
    <row r="34" spans="1:28" x14ac:dyDescent="0.2">
      <c r="A34" t="s">
        <v>144</v>
      </c>
      <c r="C34" s="19">
        <f>C26-B26</f>
        <v>5770.5</v>
      </c>
      <c r="D34" s="19">
        <f>D26-C26</f>
        <v>5770.5</v>
      </c>
      <c r="E34" s="19">
        <v>0</v>
      </c>
      <c r="F34" s="19">
        <v>0</v>
      </c>
      <c r="G34" s="19">
        <v>0</v>
      </c>
      <c r="H34" s="19">
        <v>0</v>
      </c>
      <c r="I34" s="19">
        <v>0</v>
      </c>
      <c r="J34" s="19">
        <f t="shared" ref="J34:X34" si="34">J26-I26</f>
        <v>3016.3999999999942</v>
      </c>
      <c r="K34" s="19">
        <f t="shared" si="34"/>
        <v>3016.3999999999942</v>
      </c>
      <c r="L34" s="19">
        <f t="shared" si="34"/>
        <v>3016.3999999999942</v>
      </c>
      <c r="M34" s="19">
        <f t="shared" si="34"/>
        <v>3016.3999999999942</v>
      </c>
      <c r="N34" s="19">
        <f t="shared" si="34"/>
        <v>3016.4000000000233</v>
      </c>
      <c r="O34" s="19">
        <f t="shared" si="34"/>
        <v>7850</v>
      </c>
      <c r="P34" s="19">
        <f t="shared" si="34"/>
        <v>7850</v>
      </c>
      <c r="Q34" s="19">
        <f t="shared" si="34"/>
        <v>7850</v>
      </c>
      <c r="R34" s="19">
        <f t="shared" si="34"/>
        <v>7850</v>
      </c>
      <c r="S34" s="19">
        <f t="shared" si="34"/>
        <v>7850</v>
      </c>
      <c r="T34" s="19">
        <f t="shared" si="34"/>
        <v>5039</v>
      </c>
      <c r="U34" s="19">
        <f t="shared" si="34"/>
        <v>-12318</v>
      </c>
      <c r="V34" s="19">
        <f t="shared" si="34"/>
        <v>-2330</v>
      </c>
      <c r="W34" s="19">
        <f t="shared" si="34"/>
        <v>17986</v>
      </c>
      <c r="X34" s="19">
        <f t="shared" si="34"/>
        <v>22116</v>
      </c>
      <c r="Y34" s="19">
        <v>0</v>
      </c>
      <c r="Z34" s="19">
        <f>Z26-Y26</f>
        <v>21127</v>
      </c>
      <c r="AA34" s="19">
        <v>0</v>
      </c>
      <c r="AB34" s="19">
        <v>0</v>
      </c>
    </row>
    <row r="36" spans="1:28" x14ac:dyDescent="0.2">
      <c r="A36" t="s">
        <v>196</v>
      </c>
    </row>
  </sheetData>
  <mergeCells count="4">
    <mergeCell ref="A3:D4"/>
    <mergeCell ref="A29:D30"/>
    <mergeCell ref="AQ28:AR30"/>
    <mergeCell ref="A7: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
  <sheetViews>
    <sheetView tabSelected="1" topLeftCell="U1" workbookViewId="0">
      <selection activeCell="AA7" sqref="AA7:AP10"/>
    </sheetView>
  </sheetViews>
  <sheetFormatPr baseColWidth="10" defaultColWidth="8.83203125" defaultRowHeight="15" x14ac:dyDescent="0.2"/>
  <cols>
    <col min="1" max="1" width="30.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s="3" t="s">
        <v>19</v>
      </c>
      <c r="B2" s="19">
        <f>Demand!B12-Generation!B2</f>
        <v>57411.451000000583</v>
      </c>
      <c r="C2" s="19">
        <f>Demand!C12-Generation!C2</f>
        <v>67961.669999999984</v>
      </c>
      <c r="D2" s="19">
        <f>Demand!D12-Generation!D2</f>
        <v>73461.888999999996</v>
      </c>
      <c r="E2" s="19">
        <f>Demand!E12-Generation!E2</f>
        <v>73733.731</v>
      </c>
      <c r="F2" s="19">
        <f>Demand!F12-Generation!F2</f>
        <v>94084.466999999975</v>
      </c>
      <c r="G2" s="19">
        <f>Demand!G12-Generation!G2</f>
        <v>97215.555999999982</v>
      </c>
      <c r="H2" s="19">
        <f>Demand!H12-Generation!H2</f>
        <v>108655.46999999997</v>
      </c>
      <c r="I2" s="19">
        <f>Demand!I12-Generation!I2</f>
        <v>99759.655999999959</v>
      </c>
      <c r="J2" s="19">
        <f>Demand!J12-Generation!J2</f>
        <v>101346.79999999999</v>
      </c>
      <c r="K2" s="19">
        <f>Demand!K12-Generation!K2</f>
        <v>110386.47999999998</v>
      </c>
      <c r="L2" s="19">
        <f>Demand!L12-Generation!L2</f>
        <v>122639.5</v>
      </c>
      <c r="M2" s="19">
        <f>Demand!M12-Generation!M2</f>
        <v>124108.96999999997</v>
      </c>
      <c r="N2" s="19">
        <f>Demand!N12-Generation!N2</f>
        <v>123650.85999999999</v>
      </c>
      <c r="O2" s="19">
        <f>Demand!O12-Generation!O2</f>
        <v>113645.75</v>
      </c>
      <c r="P2" s="19">
        <f>Demand!P12-Generation!P2</f>
        <v>122159.64000000001</v>
      </c>
      <c r="Q2" s="19">
        <f>Demand!Q12-Generation!Q2</f>
        <v>138948.52999999997</v>
      </c>
      <c r="R2" s="19">
        <f>Demand!R12-Generation!R2</f>
        <v>174183.41999999998</v>
      </c>
      <c r="S2" s="19">
        <f>Demand!S12-Generation!S2</f>
        <v>182921.75</v>
      </c>
      <c r="T2" s="19">
        <f>Demand!T12-Generation!T2</f>
        <v>206340.41000000003</v>
      </c>
      <c r="U2" s="19">
        <f>Demand!U12-Generation!U2</f>
        <v>239267.88</v>
      </c>
      <c r="V2" s="19">
        <f>Demand!V12-Generation!V2</f>
        <v>237077.88</v>
      </c>
      <c r="W2" s="19">
        <f>Demand!W12-Generation!W2</f>
        <v>226911.72999999998</v>
      </c>
      <c r="X2" s="19">
        <f>Demand!X12-Generation!X2</f>
        <v>255457.46999999997</v>
      </c>
      <c r="Y2" s="19">
        <f>Demand!Y12-Generation!Y2</f>
        <v>215958.41000000003</v>
      </c>
      <c r="Z2" s="19">
        <f>Demand!Z12-Generation!Z2</f>
        <v>217749.57999999996</v>
      </c>
      <c r="AA2" s="19">
        <f>Demand!AA12-Generation!AA2</f>
        <v>177845.41666667163</v>
      </c>
      <c r="AB2" s="28">
        <f>GROWTH(B2:AA2,B1:AA1,AB1,TRUE)</f>
        <v>273571.46338270116</v>
      </c>
      <c r="AC2" s="28">
        <f t="shared" ref="AC2:AP2" si="0">GROWTH(C2:AB2,C1:AB1,AC1,TRUE)</f>
        <v>284531.05824731407</v>
      </c>
      <c r="AD2" s="28">
        <f t="shared" si="0"/>
        <v>297759.746626554</v>
      </c>
      <c r="AE2" s="28">
        <f t="shared" si="0"/>
        <v>311752.67026449187</v>
      </c>
      <c r="AF2" s="28">
        <f t="shared" si="0"/>
        <v>324601.42284711346</v>
      </c>
      <c r="AG2" s="28">
        <f t="shared" si="0"/>
        <v>342711.67255383596</v>
      </c>
      <c r="AH2" s="28">
        <f t="shared" si="0"/>
        <v>361738.84323630109</v>
      </c>
      <c r="AI2" s="28">
        <f t="shared" si="0"/>
        <v>384222.83106751781</v>
      </c>
      <c r="AJ2" s="28">
        <f t="shared" si="0"/>
        <v>404373.2927052381</v>
      </c>
      <c r="AK2" s="28">
        <f t="shared" si="0"/>
        <v>424210.90793059161</v>
      </c>
      <c r="AL2" s="28">
        <f t="shared" si="0"/>
        <v>445892.81547760847</v>
      </c>
      <c r="AM2" s="28">
        <f t="shared" si="0"/>
        <v>470707.63299758255</v>
      </c>
      <c r="AN2" s="28">
        <f t="shared" si="0"/>
        <v>495634.43590063334</v>
      </c>
      <c r="AO2" s="28">
        <f t="shared" si="0"/>
        <v>519441.84341907559</v>
      </c>
      <c r="AP2" s="28">
        <f t="shared" si="0"/>
        <v>537432.88145420502</v>
      </c>
    </row>
    <row r="3" spans="1:42" x14ac:dyDescent="0.2">
      <c r="A3" s="71" t="s">
        <v>9</v>
      </c>
      <c r="B3" s="71"/>
      <c r="C3" s="71"/>
      <c r="D3" s="71"/>
    </row>
    <row r="4" spans="1:42" x14ac:dyDescent="0.2">
      <c r="A4" s="71"/>
      <c r="B4" s="71"/>
      <c r="C4" s="71"/>
      <c r="D4" s="71"/>
    </row>
    <row r="7" spans="1:42" x14ac:dyDescent="0.2">
      <c r="AA7" s="10">
        <v>2015</v>
      </c>
      <c r="AB7" s="10">
        <v>2016</v>
      </c>
      <c r="AC7" s="10">
        <v>2017</v>
      </c>
      <c r="AD7" s="10">
        <v>2018</v>
      </c>
      <c r="AE7" s="10">
        <v>2019</v>
      </c>
      <c r="AF7" s="10">
        <v>2020</v>
      </c>
      <c r="AG7" s="10">
        <v>2021</v>
      </c>
      <c r="AH7" s="10">
        <v>2022</v>
      </c>
      <c r="AI7" s="10">
        <v>2023</v>
      </c>
      <c r="AJ7" s="10">
        <v>2024</v>
      </c>
      <c r="AK7" s="10">
        <v>2025</v>
      </c>
      <c r="AL7" s="10">
        <v>2026</v>
      </c>
      <c r="AM7" s="10">
        <v>2027</v>
      </c>
      <c r="AN7" s="10">
        <v>2028</v>
      </c>
      <c r="AO7" s="10">
        <v>2029</v>
      </c>
      <c r="AP7" s="10">
        <v>2030</v>
      </c>
    </row>
    <row r="8" spans="1:42" x14ac:dyDescent="0.2">
      <c r="A8" s="3" t="s">
        <v>204</v>
      </c>
      <c r="B8">
        <v>870.60177599999997</v>
      </c>
      <c r="C8">
        <v>888.513869</v>
      </c>
      <c r="D8">
        <v>906.46135800000002</v>
      </c>
      <c r="E8">
        <v>924.47563300000002</v>
      </c>
      <c r="F8">
        <v>942.60421099999996</v>
      </c>
      <c r="G8">
        <v>960.87498199999993</v>
      </c>
      <c r="H8">
        <v>979.29043200000001</v>
      </c>
      <c r="I8">
        <v>997.81724999999994</v>
      </c>
      <c r="J8">
        <v>1016.402907</v>
      </c>
      <c r="K8">
        <v>1034.9766260000001</v>
      </c>
      <c r="L8">
        <v>1053.481072</v>
      </c>
      <c r="M8">
        <v>1071.8881899999999</v>
      </c>
      <c r="N8">
        <v>1090.1893580000001</v>
      </c>
      <c r="O8">
        <v>1108.3695769999999</v>
      </c>
      <c r="P8">
        <v>1126.4193210000001</v>
      </c>
      <c r="Q8">
        <v>1144.3262930000001</v>
      </c>
      <c r="R8">
        <v>1162.088305</v>
      </c>
      <c r="S8">
        <v>1179.6856310000001</v>
      </c>
      <c r="T8">
        <v>1197.070109</v>
      </c>
      <c r="U8">
        <v>1214.182182</v>
      </c>
      <c r="V8">
        <v>1230.984504</v>
      </c>
      <c r="W8">
        <v>1247.446011</v>
      </c>
      <c r="X8">
        <v>1263.589639</v>
      </c>
      <c r="Y8">
        <v>1279.4988740000001</v>
      </c>
      <c r="Z8">
        <v>1295.291543</v>
      </c>
      <c r="AA8">
        <v>1311.0505270000001</v>
      </c>
      <c r="AB8">
        <v>1327.0693659999999</v>
      </c>
      <c r="AC8">
        <v>1343.1692290000001</v>
      </c>
      <c r="AD8">
        <v>1359.297763</v>
      </c>
      <c r="AE8">
        <v>1375.3694599999999</v>
      </c>
      <c r="AF8">
        <v>1391.31746</v>
      </c>
      <c r="AG8">
        <v>1407.124409</v>
      </c>
      <c r="AH8">
        <v>1422.7975190000002</v>
      </c>
      <c r="AI8">
        <v>1438.3212150000002</v>
      </c>
      <c r="AJ8">
        <v>1453.6823929999998</v>
      </c>
      <c r="AK8">
        <v>1468.866192</v>
      </c>
      <c r="AL8">
        <v>1483.8601550000001</v>
      </c>
      <c r="AM8">
        <v>1498.6443859999999</v>
      </c>
      <c r="AN8">
        <v>1513.1884869999999</v>
      </c>
      <c r="AO8">
        <v>1527.4574190000001</v>
      </c>
      <c r="AP8">
        <v>1541.4242180000001</v>
      </c>
    </row>
    <row r="9" spans="1:42" x14ac:dyDescent="0.2">
      <c r="A9" s="3" t="s">
        <v>207</v>
      </c>
      <c r="AA9">
        <v>1311.0505270000001</v>
      </c>
      <c r="AB9">
        <v>1328.331743</v>
      </c>
      <c r="AC9">
        <v>1346.24485</v>
      </c>
      <c r="AD9">
        <v>1364.6510539999999</v>
      </c>
      <c r="AE9">
        <v>1383.3242700000001</v>
      </c>
      <c r="AF9">
        <v>1402.0908010000001</v>
      </c>
      <c r="AG9">
        <v>1420.9018330000001</v>
      </c>
      <c r="AH9">
        <v>1439.785261</v>
      </c>
      <c r="AI9">
        <v>1458.7291279999999</v>
      </c>
      <c r="AJ9">
        <v>1477.737016</v>
      </c>
      <c r="AK9">
        <v>1496.7967430000001</v>
      </c>
      <c r="AL9">
        <v>1515.894262</v>
      </c>
      <c r="AM9">
        <v>1534.970871</v>
      </c>
      <c r="AN9">
        <v>1553.918085</v>
      </c>
      <c r="AO9">
        <v>1572.600936</v>
      </c>
      <c r="AP9">
        <v>1590.9208079999999</v>
      </c>
    </row>
    <row r="10" spans="1:42" x14ac:dyDescent="0.2">
      <c r="A10" s="3" t="s">
        <v>208</v>
      </c>
      <c r="AA10">
        <v>1311.0505270000001</v>
      </c>
      <c r="AB10">
        <v>1325.2714040000001</v>
      </c>
      <c r="AC10">
        <v>1338.7805490000001</v>
      </c>
      <c r="AD10">
        <v>1351.6243649999999</v>
      </c>
      <c r="AE10">
        <v>1363.8858400000001</v>
      </c>
      <c r="AF10">
        <v>1375.626998</v>
      </c>
      <c r="AG10">
        <v>1386.8636980000001</v>
      </c>
      <c r="AH10">
        <v>1397.5771599999998</v>
      </c>
      <c r="AI10">
        <v>1407.7571519999999</v>
      </c>
      <c r="AJ10">
        <v>1417.3847000000001</v>
      </c>
      <c r="AK10">
        <v>1426.4536740000001</v>
      </c>
      <c r="AL10">
        <v>1434.9567439999998</v>
      </c>
      <c r="AM10">
        <v>1442.9227969999999</v>
      </c>
      <c r="AN10">
        <v>1450.4250989999998</v>
      </c>
      <c r="AO10">
        <v>1457.5599480000001</v>
      </c>
      <c r="AP10">
        <v>1464.3951140000001</v>
      </c>
    </row>
    <row r="11" spans="1:42" x14ac:dyDescent="0.2">
      <c r="A11" s="3"/>
    </row>
    <row r="12" spans="1:42" x14ac:dyDescent="0.2">
      <c r="A12" s="77" t="s">
        <v>206</v>
      </c>
      <c r="B12" s="77"/>
      <c r="C12" s="77"/>
      <c r="D12" s="77"/>
      <c r="E12" s="77"/>
      <c r="F12" s="77"/>
      <c r="G12" s="77"/>
    </row>
    <row r="13" spans="1:42" x14ac:dyDescent="0.2">
      <c r="A13" s="72" t="s">
        <v>205</v>
      </c>
      <c r="B13" s="72"/>
      <c r="C13" s="72"/>
      <c r="D13" s="72"/>
      <c r="E13" s="72"/>
    </row>
    <row r="14" spans="1:42" x14ac:dyDescent="0.2">
      <c r="A14" s="72"/>
      <c r="B14" s="72"/>
      <c r="C14" s="72"/>
      <c r="D14" s="72"/>
      <c r="E14" s="72"/>
    </row>
    <row r="22" spans="2:42" x14ac:dyDescent="0.2">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row>
    <row r="25" spans="2:42" x14ac:dyDescent="0.2">
      <c r="B25" s="70"/>
      <c r="C25" s="70"/>
      <c r="D25" s="70"/>
      <c r="E25" s="70"/>
      <c r="F25" s="70"/>
      <c r="G25" s="70"/>
      <c r="H25" s="70"/>
      <c r="I25" s="70"/>
      <c r="J25" s="70"/>
      <c r="K25" s="70"/>
      <c r="L25" s="70"/>
      <c r="M25" s="70"/>
      <c r="N25" s="70"/>
      <c r="O25" s="70"/>
      <c r="P25" s="70"/>
      <c r="Q25" s="70"/>
    </row>
    <row r="28" spans="2:42" x14ac:dyDescent="0.2">
      <c r="B28" s="70"/>
      <c r="C28" s="70"/>
      <c r="D28" s="70"/>
      <c r="E28" s="70"/>
      <c r="F28" s="70"/>
      <c r="G28" s="70"/>
      <c r="H28" s="70"/>
      <c r="I28" s="70"/>
      <c r="J28" s="70"/>
      <c r="K28" s="70"/>
      <c r="L28" s="70"/>
      <c r="M28" s="70"/>
      <c r="N28" s="70"/>
      <c r="O28" s="70"/>
      <c r="P28" s="70"/>
      <c r="Q28" s="70"/>
    </row>
  </sheetData>
  <mergeCells count="3">
    <mergeCell ref="A3:D4"/>
    <mergeCell ref="A13:E14"/>
    <mergeCell ref="A12:G1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
  <sheetViews>
    <sheetView workbookViewId="0">
      <selection activeCell="C11" sqref="C11"/>
    </sheetView>
  </sheetViews>
  <sheetFormatPr baseColWidth="10" defaultColWidth="8.83203125" defaultRowHeight="15" x14ac:dyDescent="0.2"/>
  <cols>
    <col min="1" max="1" width="30.6640625" bestFit="1" customWidth="1"/>
    <col min="2" max="26" width="10.5" bestFit="1" customWidth="1"/>
    <col min="27" max="27" width="9.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s="3" t="s">
        <v>20</v>
      </c>
      <c r="B2" s="30">
        <v>0.11</v>
      </c>
      <c r="C2" s="30">
        <v>0.14000000000000001</v>
      </c>
      <c r="D2" s="30">
        <v>0.09</v>
      </c>
      <c r="E2" s="30">
        <v>0.1</v>
      </c>
      <c r="F2" s="30">
        <v>0.1</v>
      </c>
      <c r="G2" s="30">
        <v>0.09</v>
      </c>
      <c r="H2" s="30">
        <v>0.08</v>
      </c>
      <c r="I2" s="30">
        <v>0.06</v>
      </c>
      <c r="J2" s="30">
        <v>0.08</v>
      </c>
      <c r="K2" s="30">
        <v>0.03</v>
      </c>
      <c r="L2" s="30">
        <v>0.04</v>
      </c>
      <c r="M2" s="30">
        <v>0.03</v>
      </c>
      <c r="N2" s="31">
        <v>0.04</v>
      </c>
      <c r="O2" s="30">
        <v>0.04</v>
      </c>
      <c r="P2" s="30">
        <v>0.06</v>
      </c>
      <c r="Q2" s="30">
        <v>0.04</v>
      </c>
      <c r="R2" s="30">
        <v>0.06</v>
      </c>
      <c r="S2" s="30">
        <v>0.06</v>
      </c>
      <c r="T2" s="30">
        <v>0.09</v>
      </c>
      <c r="U2" s="30">
        <v>0.06</v>
      </c>
      <c r="V2" s="30">
        <v>0.09</v>
      </c>
      <c r="W2" s="30">
        <v>0.06</v>
      </c>
      <c r="X2" s="30">
        <v>0.08</v>
      </c>
      <c r="Y2" s="30">
        <v>0.06</v>
      </c>
      <c r="Z2" s="30">
        <v>0.04</v>
      </c>
      <c r="AA2" s="28">
        <v>0.04</v>
      </c>
      <c r="AB2" s="33">
        <f>TREND(B2:AA2,B1:AA1,AB1,TRUE)</f>
        <v>4.2461538461538328E-2</v>
      </c>
      <c r="AC2" s="33">
        <f t="shared" ref="AC2:AP2" si="0">TREND(C2:AB2,C1:AB1,AC1,TRUE)</f>
        <v>4.2132544378698178E-2</v>
      </c>
      <c r="AD2" s="33">
        <f t="shared" si="0"/>
        <v>4.4960983158853107E-2</v>
      </c>
      <c r="AE2" s="33">
        <f t="shared" si="0"/>
        <v>4.4820265957074223E-2</v>
      </c>
      <c r="AF2" s="33">
        <f t="shared" si="0"/>
        <v>4.5935183187401751E-2</v>
      </c>
      <c r="AG2" s="33">
        <f t="shared" si="0"/>
        <v>4.7730977536637464E-2</v>
      </c>
      <c r="AH2" s="33">
        <f t="shared" si="0"/>
        <v>4.9440569325564176E-2</v>
      </c>
      <c r="AI2" s="33">
        <f t="shared" si="0"/>
        <v>5.0941812366295303E-2</v>
      </c>
      <c r="AJ2" s="33">
        <f t="shared" si="0"/>
        <v>5.1233026004133653E-2</v>
      </c>
      <c r="AK2" s="33">
        <f t="shared" si="0"/>
        <v>5.3375732702873657E-2</v>
      </c>
      <c r="AL2" s="33">
        <f t="shared" si="0"/>
        <v>5.1805935576766216E-2</v>
      </c>
      <c r="AM2" s="33">
        <f t="shared" si="0"/>
        <v>5.0640393667846506E-2</v>
      </c>
      <c r="AN2" s="33">
        <f t="shared" si="0"/>
        <v>4.8325021290692161E-2</v>
      </c>
      <c r="AO2" s="33">
        <f t="shared" si="0"/>
        <v>4.632444952934911E-2</v>
      </c>
      <c r="AP2" s="33">
        <f t="shared" si="0"/>
        <v>4.3939251146654756E-2</v>
      </c>
    </row>
    <row r="5" spans="1:42" x14ac:dyDescent="0.2">
      <c r="A5" t="s">
        <v>203</v>
      </c>
      <c r="B5">
        <f>B2-(B2*0.5)</f>
        <v>5.5E-2</v>
      </c>
      <c r="C5">
        <f t="shared" ref="C5:AP5" si="1">C2-(C2*0.5)</f>
        <v>7.0000000000000007E-2</v>
      </c>
      <c r="D5">
        <f t="shared" si="1"/>
        <v>4.4999999999999998E-2</v>
      </c>
      <c r="E5">
        <f t="shared" si="1"/>
        <v>0.05</v>
      </c>
      <c r="F5">
        <f t="shared" si="1"/>
        <v>0.05</v>
      </c>
      <c r="G5">
        <f t="shared" si="1"/>
        <v>4.4999999999999998E-2</v>
      </c>
      <c r="H5">
        <f t="shared" si="1"/>
        <v>0.04</v>
      </c>
      <c r="I5">
        <f t="shared" si="1"/>
        <v>0.03</v>
      </c>
      <c r="J5">
        <f t="shared" si="1"/>
        <v>0.04</v>
      </c>
      <c r="K5">
        <f t="shared" si="1"/>
        <v>1.4999999999999999E-2</v>
      </c>
      <c r="L5">
        <f t="shared" si="1"/>
        <v>0.02</v>
      </c>
      <c r="M5">
        <f t="shared" si="1"/>
        <v>1.4999999999999999E-2</v>
      </c>
      <c r="N5">
        <f t="shared" si="1"/>
        <v>0.02</v>
      </c>
      <c r="O5">
        <f t="shared" si="1"/>
        <v>0.02</v>
      </c>
      <c r="P5">
        <f t="shared" si="1"/>
        <v>0.03</v>
      </c>
      <c r="Q5">
        <f t="shared" si="1"/>
        <v>0.02</v>
      </c>
      <c r="R5">
        <f t="shared" si="1"/>
        <v>0.03</v>
      </c>
      <c r="S5">
        <f t="shared" si="1"/>
        <v>0.03</v>
      </c>
      <c r="T5">
        <f t="shared" si="1"/>
        <v>4.4999999999999998E-2</v>
      </c>
      <c r="U5">
        <f t="shared" si="1"/>
        <v>0.03</v>
      </c>
      <c r="V5">
        <f t="shared" si="1"/>
        <v>4.4999999999999998E-2</v>
      </c>
      <c r="W5">
        <f t="shared" si="1"/>
        <v>0.03</v>
      </c>
      <c r="X5">
        <f t="shared" si="1"/>
        <v>0.04</v>
      </c>
      <c r="Y5">
        <f t="shared" si="1"/>
        <v>0.03</v>
      </c>
      <c r="Z5">
        <f t="shared" si="1"/>
        <v>0.02</v>
      </c>
      <c r="AA5">
        <f t="shared" si="1"/>
        <v>0.02</v>
      </c>
      <c r="AB5">
        <f t="shared" si="1"/>
        <v>2.1230769230769164E-2</v>
      </c>
      <c r="AC5">
        <f t="shared" si="1"/>
        <v>2.1066272189349089E-2</v>
      </c>
      <c r="AD5">
        <f t="shared" si="1"/>
        <v>2.2480491579426554E-2</v>
      </c>
      <c r="AE5">
        <f t="shared" si="1"/>
        <v>2.2410132978537112E-2</v>
      </c>
      <c r="AF5">
        <f t="shared" si="1"/>
        <v>2.2967591593700876E-2</v>
      </c>
      <c r="AG5">
        <f t="shared" si="1"/>
        <v>2.3865488768318732E-2</v>
      </c>
      <c r="AH5">
        <f t="shared" si="1"/>
        <v>2.4720284662782088E-2</v>
      </c>
      <c r="AI5">
        <f t="shared" si="1"/>
        <v>2.5470906183147651E-2</v>
      </c>
      <c r="AJ5">
        <f t="shared" si="1"/>
        <v>2.5616513002066826E-2</v>
      </c>
      <c r="AK5">
        <f t="shared" si="1"/>
        <v>2.6687866351436829E-2</v>
      </c>
      <c r="AL5">
        <f t="shared" si="1"/>
        <v>2.5902967788383108E-2</v>
      </c>
      <c r="AM5">
        <f t="shared" si="1"/>
        <v>2.5320196833923253E-2</v>
      </c>
      <c r="AN5">
        <f t="shared" si="1"/>
        <v>2.416251064534608E-2</v>
      </c>
      <c r="AO5">
        <f t="shared" si="1"/>
        <v>2.3162224764674555E-2</v>
      </c>
      <c r="AP5">
        <f t="shared" si="1"/>
        <v>2.1969625573327378E-2</v>
      </c>
    </row>
    <row r="6" spans="1:42" x14ac:dyDescent="0.2">
      <c r="A6" t="s">
        <v>202</v>
      </c>
      <c r="B6">
        <f>B2+(B2*0.5)</f>
        <v>0.16500000000000001</v>
      </c>
      <c r="C6">
        <f t="shared" ref="C6:AP6" si="2">C2+(C2*0.5)</f>
        <v>0.21000000000000002</v>
      </c>
      <c r="D6">
        <f t="shared" si="2"/>
        <v>0.13500000000000001</v>
      </c>
      <c r="E6">
        <f t="shared" si="2"/>
        <v>0.15000000000000002</v>
      </c>
      <c r="F6">
        <f t="shared" si="2"/>
        <v>0.15000000000000002</v>
      </c>
      <c r="G6">
        <f t="shared" si="2"/>
        <v>0.13500000000000001</v>
      </c>
      <c r="H6">
        <f t="shared" si="2"/>
        <v>0.12</v>
      </c>
      <c r="I6">
        <f t="shared" si="2"/>
        <v>0.09</v>
      </c>
      <c r="J6">
        <f t="shared" si="2"/>
        <v>0.12</v>
      </c>
      <c r="K6">
        <f t="shared" si="2"/>
        <v>4.4999999999999998E-2</v>
      </c>
      <c r="L6">
        <f t="shared" si="2"/>
        <v>0.06</v>
      </c>
      <c r="M6">
        <f t="shared" si="2"/>
        <v>4.4999999999999998E-2</v>
      </c>
      <c r="N6">
        <f t="shared" si="2"/>
        <v>0.06</v>
      </c>
      <c r="O6">
        <f t="shared" si="2"/>
        <v>0.06</v>
      </c>
      <c r="P6">
        <f t="shared" si="2"/>
        <v>0.09</v>
      </c>
      <c r="Q6">
        <f t="shared" si="2"/>
        <v>0.06</v>
      </c>
      <c r="R6">
        <f t="shared" si="2"/>
        <v>0.09</v>
      </c>
      <c r="S6">
        <f t="shared" si="2"/>
        <v>0.09</v>
      </c>
      <c r="T6">
        <f t="shared" si="2"/>
        <v>0.13500000000000001</v>
      </c>
      <c r="U6">
        <f t="shared" si="2"/>
        <v>0.09</v>
      </c>
      <c r="V6">
        <f t="shared" si="2"/>
        <v>0.13500000000000001</v>
      </c>
      <c r="W6">
        <f t="shared" si="2"/>
        <v>0.09</v>
      </c>
      <c r="X6">
        <f t="shared" si="2"/>
        <v>0.12</v>
      </c>
      <c r="Y6">
        <f t="shared" si="2"/>
        <v>0.09</v>
      </c>
      <c r="Z6">
        <f t="shared" si="2"/>
        <v>0.06</v>
      </c>
      <c r="AA6">
        <f t="shared" si="2"/>
        <v>0.06</v>
      </c>
      <c r="AB6">
        <f t="shared" si="2"/>
        <v>6.3692307692307493E-2</v>
      </c>
      <c r="AC6">
        <f t="shared" si="2"/>
        <v>6.3198816568047267E-2</v>
      </c>
      <c r="AD6">
        <f t="shared" si="2"/>
        <v>6.7441474738279661E-2</v>
      </c>
      <c r="AE6">
        <f t="shared" si="2"/>
        <v>6.7230398935611335E-2</v>
      </c>
      <c r="AF6">
        <f t="shared" si="2"/>
        <v>6.8902774781102627E-2</v>
      </c>
      <c r="AG6">
        <f t="shared" si="2"/>
        <v>7.1596466304956197E-2</v>
      </c>
      <c r="AH6">
        <f t="shared" si="2"/>
        <v>7.4160853988346265E-2</v>
      </c>
      <c r="AI6">
        <f t="shared" si="2"/>
        <v>7.6412718549442954E-2</v>
      </c>
      <c r="AJ6">
        <f t="shared" si="2"/>
        <v>7.6849539006200479E-2</v>
      </c>
      <c r="AK6">
        <f t="shared" si="2"/>
        <v>8.0063599054310486E-2</v>
      </c>
      <c r="AL6">
        <f t="shared" si="2"/>
        <v>7.7708903365149323E-2</v>
      </c>
      <c r="AM6">
        <f t="shared" si="2"/>
        <v>7.5960590501769759E-2</v>
      </c>
      <c r="AN6">
        <f t="shared" si="2"/>
        <v>7.2487531936038241E-2</v>
      </c>
      <c r="AO6">
        <f t="shared" si="2"/>
        <v>6.9486674294023665E-2</v>
      </c>
      <c r="AP6">
        <f t="shared" si="2"/>
        <v>6.5908876719982135E-2</v>
      </c>
    </row>
    <row r="10" spans="1:42" x14ac:dyDescent="0.2">
      <c r="C10">
        <v>0.88</v>
      </c>
      <c r="D10">
        <f>C10-(C10*0.5)</f>
        <v>0.44</v>
      </c>
    </row>
    <row r="11" spans="1:42" x14ac:dyDescent="0.2">
      <c r="D11">
        <f>C10+(C10*0.5)</f>
        <v>1.32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
  <sheetViews>
    <sheetView topLeftCell="N1" workbookViewId="0">
      <selection activeCell="AP2" sqref="AB2:AP2"/>
    </sheetView>
  </sheetViews>
  <sheetFormatPr baseColWidth="10" defaultColWidth="8.83203125" defaultRowHeight="15" x14ac:dyDescent="0.2"/>
  <cols>
    <col min="1" max="1" width="34.8320312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s="3" t="s">
        <v>21</v>
      </c>
      <c r="B2" s="28">
        <f>TREND(C2:F2,C1:F1,B1,TRUE)</f>
        <v>1.0339000000000169</v>
      </c>
      <c r="C2" s="28">
        <f>TREND(D2:G2,D1:G1,C1,TRUE)</f>
        <v>1.1528000000000134</v>
      </c>
      <c r="D2" s="29">
        <v>1.2819</v>
      </c>
      <c r="E2" s="29">
        <v>1.4912000000000001</v>
      </c>
      <c r="F2" s="29">
        <v>1.5197000000000001</v>
      </c>
      <c r="G2" s="29">
        <v>1.7494000000000001</v>
      </c>
      <c r="H2" s="29">
        <v>2.0457000000000001</v>
      </c>
      <c r="I2" s="29">
        <v>2.2221000000000002</v>
      </c>
      <c r="J2" s="29">
        <v>2.3967999999999998</v>
      </c>
      <c r="K2" s="29">
        <v>2.8359999999999999</v>
      </c>
      <c r="L2" s="29">
        <v>3.0375000000000001</v>
      </c>
      <c r="M2" s="28">
        <f>L2+($S2-$L2)/7</f>
        <v>3.181314285714286</v>
      </c>
      <c r="N2" s="28">
        <f t="shared" ref="N2:R2" si="0">M2+($S2-$L2)/7</f>
        <v>3.3251285714285719</v>
      </c>
      <c r="O2" s="28">
        <f t="shared" si="0"/>
        <v>3.4689428571428578</v>
      </c>
      <c r="P2" s="28">
        <f t="shared" si="0"/>
        <v>3.6127571428571437</v>
      </c>
      <c r="Q2" s="28">
        <f t="shared" si="0"/>
        <v>3.7565714285714296</v>
      </c>
      <c r="R2" s="28">
        <f t="shared" si="0"/>
        <v>3.9003857142857155</v>
      </c>
      <c r="S2" s="29">
        <v>4.0442</v>
      </c>
      <c r="T2" s="29">
        <v>4.5957999999999997</v>
      </c>
      <c r="U2" s="29">
        <v>4.7108999999999996</v>
      </c>
      <c r="V2" s="29">
        <v>5.0629</v>
      </c>
      <c r="W2" s="29">
        <v>5.6984000000000004</v>
      </c>
      <c r="X2" s="29">
        <v>5.9275000000000002</v>
      </c>
      <c r="Y2" s="29">
        <v>5.9313000000000002</v>
      </c>
      <c r="Z2" s="28">
        <f>TREND(W2:Y2,W1:Y1,Z1,TRUE)</f>
        <v>6.0852999999999895</v>
      </c>
      <c r="AA2" s="28">
        <f>TREND(X2:Z2,X1:Z1,AA1,TRUE)</f>
        <v>6.1391666666666538</v>
      </c>
      <c r="AB2" s="28">
        <f>TREND(B2:AA2,B1:AA1,AB1,TRUE)</f>
        <v>6.3855945641025755</v>
      </c>
      <c r="AC2" s="28">
        <f t="shared" ref="AC2:AP2" si="1">TREND(C2:AB2,C1:AB1,AC1,TRUE)</f>
        <v>6.6243829585798721</v>
      </c>
      <c r="AD2" s="28">
        <f t="shared" si="1"/>
        <v>6.8607514639235205</v>
      </c>
      <c r="AE2" s="28">
        <f t="shared" si="1"/>
        <v>7.0940998966254938</v>
      </c>
      <c r="AF2" s="28">
        <f t="shared" si="1"/>
        <v>7.3298829977684363</v>
      </c>
      <c r="AG2" s="28">
        <f t="shared" si="1"/>
        <v>7.5526767308106173</v>
      </c>
      <c r="AH2" s="28">
        <f t="shared" si="1"/>
        <v>7.7759035028030894</v>
      </c>
      <c r="AI2" s="28">
        <f t="shared" si="1"/>
        <v>8.0054315314329756</v>
      </c>
      <c r="AJ2" s="28">
        <f t="shared" si="1"/>
        <v>8.2325749167492859</v>
      </c>
      <c r="AK2" s="28">
        <f t="shared" si="1"/>
        <v>8.4563299164395289</v>
      </c>
      <c r="AL2" s="28">
        <f t="shared" si="1"/>
        <v>8.6984788399275317</v>
      </c>
      <c r="AM2" s="28">
        <f t="shared" si="1"/>
        <v>8.9433614754926225</v>
      </c>
      <c r="AN2" s="28">
        <f t="shared" si="1"/>
        <v>9.186053327237687</v>
      </c>
      <c r="AO2" s="28">
        <f t="shared" si="1"/>
        <v>9.4252844128839683</v>
      </c>
      <c r="AP2" s="28">
        <f t="shared" si="1"/>
        <v>9.6596095908838606</v>
      </c>
    </row>
    <row r="7" spans="1:42" x14ac:dyDescent="0.2">
      <c r="A7" t="s">
        <v>22</v>
      </c>
    </row>
    <row r="8" spans="1:42" x14ac:dyDescent="0.2">
      <c r="A8" s="71" t="s">
        <v>15</v>
      </c>
      <c r="B8" s="71"/>
      <c r="C8" s="71"/>
    </row>
    <row r="9" spans="1:42" x14ac:dyDescent="0.2">
      <c r="A9" s="71"/>
      <c r="B9" s="71"/>
      <c r="C9" s="71"/>
    </row>
    <row r="10" spans="1:42" x14ac:dyDescent="0.2">
      <c r="A10" s="71"/>
      <c r="B10" s="71"/>
      <c r="C10" s="71"/>
    </row>
  </sheetData>
  <mergeCells count="1">
    <mergeCell ref="A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8"/>
  <sheetViews>
    <sheetView topLeftCell="N1" workbookViewId="0">
      <selection activeCell="AP2" sqref="AB2:AP5"/>
    </sheetView>
  </sheetViews>
  <sheetFormatPr baseColWidth="10" defaultColWidth="8.83203125" defaultRowHeight="15" x14ac:dyDescent="0.2"/>
  <cols>
    <col min="1" max="1" width="33.33203125" bestFit="1" customWidth="1"/>
  </cols>
  <sheetData>
    <row r="1" spans="1:42" x14ac:dyDescent="0.2">
      <c r="B1" s="10">
        <v>1990</v>
      </c>
      <c r="C1" s="10">
        <v>1991</v>
      </c>
      <c r="D1" s="10">
        <v>1992</v>
      </c>
      <c r="E1" s="10">
        <v>1993</v>
      </c>
      <c r="F1" s="10">
        <v>1994</v>
      </c>
      <c r="G1" s="10">
        <v>1995</v>
      </c>
      <c r="H1" s="10">
        <v>1996</v>
      </c>
      <c r="I1" s="10">
        <v>1997</v>
      </c>
      <c r="J1" s="10">
        <v>1998</v>
      </c>
      <c r="K1" s="10">
        <v>1999</v>
      </c>
      <c r="L1" s="10">
        <v>2000</v>
      </c>
      <c r="M1" s="10">
        <v>2001</v>
      </c>
      <c r="N1" s="10">
        <v>2002</v>
      </c>
      <c r="O1" s="10">
        <v>2003</v>
      </c>
      <c r="P1" s="10">
        <v>2004</v>
      </c>
      <c r="Q1" s="10">
        <v>2005</v>
      </c>
      <c r="R1" s="10">
        <v>2006</v>
      </c>
      <c r="S1" s="10">
        <v>2007</v>
      </c>
      <c r="T1" s="10">
        <v>2008</v>
      </c>
      <c r="U1" s="10">
        <v>2009</v>
      </c>
      <c r="V1" s="10">
        <v>2010</v>
      </c>
      <c r="W1" s="10">
        <v>2011</v>
      </c>
      <c r="X1" s="10">
        <v>2012</v>
      </c>
      <c r="Y1" s="10">
        <v>2013</v>
      </c>
      <c r="Z1" s="10">
        <v>2014</v>
      </c>
      <c r="AA1" s="10">
        <v>2015</v>
      </c>
      <c r="AB1" s="10">
        <v>2016</v>
      </c>
      <c r="AC1" s="10">
        <v>2017</v>
      </c>
      <c r="AD1" s="10">
        <v>2018</v>
      </c>
      <c r="AE1" s="10">
        <v>2019</v>
      </c>
      <c r="AF1" s="10">
        <v>2020</v>
      </c>
      <c r="AG1" s="10">
        <v>2021</v>
      </c>
      <c r="AH1" s="10">
        <v>2022</v>
      </c>
      <c r="AI1" s="10">
        <v>2023</v>
      </c>
      <c r="AJ1" s="10">
        <v>2024</v>
      </c>
      <c r="AK1" s="10">
        <v>2025</v>
      </c>
      <c r="AL1" s="10">
        <v>2026</v>
      </c>
      <c r="AM1" s="10">
        <v>2027</v>
      </c>
      <c r="AN1" s="10">
        <v>2028</v>
      </c>
      <c r="AO1" s="10">
        <v>2029</v>
      </c>
      <c r="AP1" s="10">
        <v>2030</v>
      </c>
    </row>
    <row r="2" spans="1:42" x14ac:dyDescent="0.2">
      <c r="A2" t="s">
        <v>23</v>
      </c>
      <c r="B2" s="28">
        <f>TREND(C2:E2,C1:E1,B1,TRUE)</f>
        <v>0.39134444444445649</v>
      </c>
      <c r="C2" s="28">
        <f>TREND(D2:F2,D1:F1,C1,TRUE)</f>
        <v>0.4811333333333323</v>
      </c>
      <c r="D2" s="29">
        <v>0.53349999999999997</v>
      </c>
      <c r="E2" s="29">
        <v>0.64200000000000002</v>
      </c>
      <c r="F2" s="29">
        <v>0.6663</v>
      </c>
      <c r="G2" s="29">
        <v>0.70089999999999997</v>
      </c>
      <c r="H2" s="29">
        <v>0.82520000000000004</v>
      </c>
      <c r="I2" s="29">
        <v>0.92110000000000003</v>
      </c>
      <c r="J2" s="29">
        <v>0.93600000000000005</v>
      </c>
      <c r="K2" s="29">
        <v>0.96779999999999999</v>
      </c>
      <c r="L2" s="29">
        <v>1.0108999999999999</v>
      </c>
      <c r="M2" s="28">
        <f>L2+($S2-$L2)/7</f>
        <v>1.0556857142857141</v>
      </c>
      <c r="N2" s="28">
        <f t="shared" ref="N2:R2" si="0">M2+($S2-$L2)/7</f>
        <v>1.1004714285714283</v>
      </c>
      <c r="O2" s="28">
        <f t="shared" si="0"/>
        <v>1.1452571428571425</v>
      </c>
      <c r="P2" s="28">
        <f t="shared" si="0"/>
        <v>1.1900428571428567</v>
      </c>
      <c r="Q2" s="28">
        <f t="shared" si="0"/>
        <v>1.2348285714285709</v>
      </c>
      <c r="R2" s="28">
        <f t="shared" si="0"/>
        <v>1.2796142857142851</v>
      </c>
      <c r="S2" s="29">
        <v>1.3244</v>
      </c>
      <c r="T2" s="29">
        <v>1.5153000000000001</v>
      </c>
      <c r="U2" s="29">
        <v>1.6286</v>
      </c>
      <c r="V2" s="29">
        <v>1.7410000000000001</v>
      </c>
      <c r="W2" s="29">
        <v>2.0028999999999999</v>
      </c>
      <c r="X2" s="29">
        <v>2.2452000000000001</v>
      </c>
      <c r="Y2" s="29">
        <v>2.2534999999999998</v>
      </c>
      <c r="Z2" s="28">
        <f>TREND(W2:Y2,W1:Y1,Z1,TRUE)</f>
        <v>2.4177999999999997</v>
      </c>
      <c r="AA2" s="28">
        <f>TREND(X2:Z2,X1:Z1,AA1,TRUE)</f>
        <v>2.478100000000012</v>
      </c>
      <c r="AB2" s="28">
        <f>GROWTH(B2:AA2,B1:AA1,AB1,TRUE)</f>
        <v>2.6926069466767761</v>
      </c>
      <c r="AC2" s="28">
        <f t="shared" ref="AC2:AP2" si="1">GROWTH(C2:AB2,C1:AB1,AC1,TRUE)</f>
        <v>2.8160283068905012</v>
      </c>
      <c r="AD2" s="28">
        <f t="shared" si="1"/>
        <v>2.9654613012939723</v>
      </c>
      <c r="AE2" s="28">
        <f t="shared" si="1"/>
        <v>3.1245275908499868</v>
      </c>
      <c r="AF2" s="28">
        <f t="shared" si="1"/>
        <v>3.3190809699723074</v>
      </c>
      <c r="AG2" s="28">
        <f t="shared" si="1"/>
        <v>3.5183049944355451</v>
      </c>
      <c r="AH2" s="28">
        <f t="shared" si="1"/>
        <v>3.7239254380824254</v>
      </c>
      <c r="AI2" s="28">
        <f t="shared" si="1"/>
        <v>3.9728690982913002</v>
      </c>
      <c r="AJ2" s="28">
        <f t="shared" si="1"/>
        <v>4.2619048688850789</v>
      </c>
      <c r="AK2" s="28">
        <f t="shared" si="1"/>
        <v>4.5660032913310973</v>
      </c>
      <c r="AL2" s="28">
        <f t="shared" si="1"/>
        <v>4.8893022274440314</v>
      </c>
      <c r="AM2" s="28">
        <f t="shared" si="1"/>
        <v>5.2352742224617561</v>
      </c>
      <c r="AN2" s="28">
        <f t="shared" si="1"/>
        <v>5.6040657651922015</v>
      </c>
      <c r="AO2" s="28">
        <f t="shared" si="1"/>
        <v>5.9944692464736269</v>
      </c>
      <c r="AP2" s="28">
        <f t="shared" si="1"/>
        <v>6.4042010930828015</v>
      </c>
    </row>
    <row r="3" spans="1:42" x14ac:dyDescent="0.2">
      <c r="A3" t="s">
        <v>25</v>
      </c>
      <c r="B3" s="28">
        <f t="shared" ref="B3" si="2">B2*1.64</f>
        <v>0.64180488888890863</v>
      </c>
      <c r="C3" s="28">
        <f t="shared" ref="C3" si="3">C2*1.64</f>
        <v>0.78905866666666491</v>
      </c>
      <c r="D3" s="28">
        <f t="shared" ref="D3" si="4">D2*1.64</f>
        <v>0.87493999999999994</v>
      </c>
      <c r="E3" s="28">
        <f t="shared" ref="E3" si="5">E2*1.64</f>
        <v>1.05288</v>
      </c>
      <c r="F3" s="28">
        <f t="shared" ref="F3" si="6">F2*1.64</f>
        <v>1.092732</v>
      </c>
      <c r="G3" s="28">
        <f t="shared" ref="G3" si="7">G2*1.64</f>
        <v>1.1494759999999999</v>
      </c>
      <c r="H3" s="28">
        <f t="shared" ref="H3" si="8">H2*1.64</f>
        <v>1.3533280000000001</v>
      </c>
      <c r="I3" s="28">
        <f t="shared" ref="I3" si="9">I2*1.64</f>
        <v>1.5106040000000001</v>
      </c>
      <c r="J3" s="28">
        <f t="shared" ref="J3" si="10">J2*1.64</f>
        <v>1.53504</v>
      </c>
      <c r="K3" s="28">
        <f t="shared" ref="K3" si="11">K2*1.64</f>
        <v>1.5871919999999999</v>
      </c>
      <c r="L3" s="28">
        <f t="shared" ref="L3" si="12">L2*1.64</f>
        <v>1.6578759999999997</v>
      </c>
      <c r="M3" s="28">
        <f t="shared" ref="M3" si="13">M2*1.64</f>
        <v>1.731324571428571</v>
      </c>
      <c r="N3" s="28">
        <f t="shared" ref="N3" si="14">N2*1.64</f>
        <v>1.8047731428571423</v>
      </c>
      <c r="O3" s="28">
        <f t="shared" ref="O3" si="15">O2*1.64</f>
        <v>1.8782217142857136</v>
      </c>
      <c r="P3" s="28">
        <f t="shared" ref="P3" si="16">P2*1.64</f>
        <v>1.9516702857142849</v>
      </c>
      <c r="Q3" s="28">
        <f t="shared" ref="Q3" si="17">Q2*1.64</f>
        <v>2.0251188571428562</v>
      </c>
      <c r="R3" s="28">
        <f t="shared" ref="R3" si="18">R2*1.64</f>
        <v>2.0985674285714273</v>
      </c>
      <c r="S3" s="28">
        <f t="shared" ref="S3:Z3" si="19">S2*1.64</f>
        <v>2.1720159999999997</v>
      </c>
      <c r="T3" s="28">
        <f t="shared" si="19"/>
        <v>2.4850919999999999</v>
      </c>
      <c r="U3" s="28">
        <f t="shared" si="19"/>
        <v>2.6709039999999997</v>
      </c>
      <c r="V3" s="28">
        <f t="shared" si="19"/>
        <v>2.8552399999999998</v>
      </c>
      <c r="W3" s="28">
        <f t="shared" si="19"/>
        <v>3.2847559999999998</v>
      </c>
      <c r="X3" s="28">
        <f t="shared" si="19"/>
        <v>3.6821280000000001</v>
      </c>
      <c r="Y3" s="28">
        <f t="shared" si="19"/>
        <v>3.6957399999999994</v>
      </c>
      <c r="Z3" s="28">
        <f t="shared" si="19"/>
        <v>3.9651919999999992</v>
      </c>
      <c r="AA3" s="28">
        <f>AA2*1.64</f>
        <v>4.0640840000000198</v>
      </c>
      <c r="AB3" s="28">
        <f t="shared" ref="AB3:AP3" si="20">AB2*1.64</f>
        <v>4.4158753925499123</v>
      </c>
      <c r="AC3" s="28">
        <f t="shared" si="20"/>
        <v>4.6182864233004217</v>
      </c>
      <c r="AD3" s="28">
        <f t="shared" si="20"/>
        <v>4.8633565341221141</v>
      </c>
      <c r="AE3" s="28">
        <f t="shared" si="20"/>
        <v>5.1242252489939784</v>
      </c>
      <c r="AF3" s="28">
        <f t="shared" si="20"/>
        <v>5.4432927907545841</v>
      </c>
      <c r="AG3" s="28">
        <f t="shared" si="20"/>
        <v>5.7700201908742939</v>
      </c>
      <c r="AH3" s="28">
        <f t="shared" si="20"/>
        <v>6.1072377184551776</v>
      </c>
      <c r="AI3" s="28">
        <f t="shared" si="20"/>
        <v>6.5155053211977316</v>
      </c>
      <c r="AJ3" s="28">
        <f t="shared" si="20"/>
        <v>6.9895239849715294</v>
      </c>
      <c r="AK3" s="28">
        <f t="shared" si="20"/>
        <v>7.4882453977829995</v>
      </c>
      <c r="AL3" s="28">
        <f t="shared" si="20"/>
        <v>8.0184556530082105</v>
      </c>
      <c r="AM3" s="28">
        <f t="shared" si="20"/>
        <v>8.5858497248372796</v>
      </c>
      <c r="AN3" s="28">
        <f t="shared" si="20"/>
        <v>9.1906678549152101</v>
      </c>
      <c r="AO3" s="28">
        <f t="shared" si="20"/>
        <v>9.8309295642167474</v>
      </c>
      <c r="AP3" s="28">
        <f t="shared" si="20"/>
        <v>10.502889792655793</v>
      </c>
    </row>
    <row r="4" spans="1:42" x14ac:dyDescent="0.2">
      <c r="A4" t="s">
        <v>58</v>
      </c>
      <c r="B4" s="28">
        <f>B2*0.34</f>
        <v>0.13305711111111521</v>
      </c>
      <c r="C4" s="28">
        <f t="shared" ref="C4:AP4" si="21">C2*0.34</f>
        <v>0.163585333333333</v>
      </c>
      <c r="D4" s="28">
        <f t="shared" si="21"/>
        <v>0.18139</v>
      </c>
      <c r="E4" s="28">
        <f t="shared" si="21"/>
        <v>0.21828000000000003</v>
      </c>
      <c r="F4" s="28">
        <f t="shared" si="21"/>
        <v>0.22654200000000002</v>
      </c>
      <c r="G4" s="28">
        <f t="shared" si="21"/>
        <v>0.23830600000000002</v>
      </c>
      <c r="H4" s="28">
        <f t="shared" si="21"/>
        <v>0.28056800000000004</v>
      </c>
      <c r="I4" s="28">
        <f t="shared" si="21"/>
        <v>0.31317400000000001</v>
      </c>
      <c r="J4" s="28">
        <f t="shared" si="21"/>
        <v>0.31824000000000002</v>
      </c>
      <c r="K4" s="28">
        <f t="shared" si="21"/>
        <v>0.32905200000000001</v>
      </c>
      <c r="L4" s="28">
        <f t="shared" si="21"/>
        <v>0.34370600000000001</v>
      </c>
      <c r="M4" s="28">
        <f t="shared" si="21"/>
        <v>0.35893314285714284</v>
      </c>
      <c r="N4" s="28">
        <f t="shared" si="21"/>
        <v>0.37416028571428567</v>
      </c>
      <c r="O4" s="28">
        <f t="shared" si="21"/>
        <v>0.3893874285714285</v>
      </c>
      <c r="P4" s="28">
        <f t="shared" si="21"/>
        <v>0.40461457142857132</v>
      </c>
      <c r="Q4" s="28">
        <f t="shared" si="21"/>
        <v>0.41984171428571415</v>
      </c>
      <c r="R4" s="28">
        <f t="shared" si="21"/>
        <v>0.43506885714285698</v>
      </c>
      <c r="S4" s="28">
        <f t="shared" si="21"/>
        <v>0.45029600000000003</v>
      </c>
      <c r="T4" s="28">
        <f t="shared" si="21"/>
        <v>0.51520200000000005</v>
      </c>
      <c r="U4" s="28">
        <f t="shared" si="21"/>
        <v>0.55372400000000011</v>
      </c>
      <c r="V4" s="28">
        <f t="shared" si="21"/>
        <v>0.59194000000000013</v>
      </c>
      <c r="W4" s="28">
        <f t="shared" si="21"/>
        <v>0.68098599999999998</v>
      </c>
      <c r="X4" s="28">
        <f t="shared" si="21"/>
        <v>0.76336800000000005</v>
      </c>
      <c r="Y4" s="28">
        <f t="shared" si="21"/>
        <v>0.76619000000000004</v>
      </c>
      <c r="Z4" s="28">
        <f t="shared" si="21"/>
        <v>0.822052</v>
      </c>
      <c r="AA4" s="28">
        <f t="shared" si="21"/>
        <v>0.84255400000000413</v>
      </c>
      <c r="AB4" s="28">
        <f t="shared" si="21"/>
        <v>0.9154863618701039</v>
      </c>
      <c r="AC4" s="28">
        <f t="shared" si="21"/>
        <v>0.95744962434277048</v>
      </c>
      <c r="AD4" s="28">
        <f t="shared" si="21"/>
        <v>1.0082568424399507</v>
      </c>
      <c r="AE4" s="28">
        <f t="shared" si="21"/>
        <v>1.0623393808889956</v>
      </c>
      <c r="AF4" s="28">
        <f t="shared" si="21"/>
        <v>1.1284875297905845</v>
      </c>
      <c r="AG4" s="28">
        <f t="shared" si="21"/>
        <v>1.1962236981080854</v>
      </c>
      <c r="AH4" s="28">
        <f t="shared" si="21"/>
        <v>1.2661346489480247</v>
      </c>
      <c r="AI4" s="28">
        <f t="shared" si="21"/>
        <v>1.3507754934190421</v>
      </c>
      <c r="AJ4" s="28">
        <f t="shared" si="21"/>
        <v>1.4490476554209268</v>
      </c>
      <c r="AK4" s="28">
        <f t="shared" si="21"/>
        <v>1.5524411190525731</v>
      </c>
      <c r="AL4" s="28">
        <f t="shared" si="21"/>
        <v>1.6623627573309707</v>
      </c>
      <c r="AM4" s="28">
        <f t="shared" si="21"/>
        <v>1.7799932356369972</v>
      </c>
      <c r="AN4" s="28">
        <f t="shared" si="21"/>
        <v>1.9053823601653486</v>
      </c>
      <c r="AO4" s="28">
        <f t="shared" si="21"/>
        <v>2.0381195438010331</v>
      </c>
      <c r="AP4" s="28">
        <f t="shared" si="21"/>
        <v>2.1774283716481526</v>
      </c>
    </row>
    <row r="5" spans="1:42" x14ac:dyDescent="0.2">
      <c r="A5" t="s">
        <v>59</v>
      </c>
      <c r="B5" s="28">
        <f>B3*0.57</f>
        <v>0.3658287866666779</v>
      </c>
      <c r="C5" s="28">
        <f t="shared" ref="C5:AP5" si="22">C3*0.57</f>
        <v>0.44976343999999896</v>
      </c>
      <c r="D5" s="28">
        <f t="shared" si="22"/>
        <v>0.49871579999999993</v>
      </c>
      <c r="E5" s="28">
        <f t="shared" si="22"/>
        <v>0.60014159999999994</v>
      </c>
      <c r="F5" s="28">
        <f t="shared" si="22"/>
        <v>0.62285723999999998</v>
      </c>
      <c r="G5" s="28">
        <f t="shared" si="22"/>
        <v>0.65520131999999986</v>
      </c>
      <c r="H5" s="28">
        <f t="shared" si="22"/>
        <v>0.77139696000000002</v>
      </c>
      <c r="I5" s="28">
        <f t="shared" si="22"/>
        <v>0.86104428</v>
      </c>
      <c r="J5" s="28">
        <f t="shared" si="22"/>
        <v>0.87497279999999988</v>
      </c>
      <c r="K5" s="28">
        <f t="shared" si="22"/>
        <v>0.90469943999999991</v>
      </c>
      <c r="L5" s="28">
        <f t="shared" si="22"/>
        <v>0.94498931999999969</v>
      </c>
      <c r="M5" s="28">
        <f t="shared" si="22"/>
        <v>0.98685500571428542</v>
      </c>
      <c r="N5" s="28">
        <f t="shared" si="22"/>
        <v>1.0287206914285709</v>
      </c>
      <c r="O5" s="28">
        <f t="shared" si="22"/>
        <v>1.0705863771428568</v>
      </c>
      <c r="P5" s="28">
        <f t="shared" si="22"/>
        <v>1.1124520628571424</v>
      </c>
      <c r="Q5" s="28">
        <f t="shared" si="22"/>
        <v>1.154317748571428</v>
      </c>
      <c r="R5" s="28">
        <f t="shared" si="22"/>
        <v>1.1961834342857134</v>
      </c>
      <c r="S5" s="28">
        <f t="shared" si="22"/>
        <v>1.2380491199999997</v>
      </c>
      <c r="T5" s="28">
        <f t="shared" si="22"/>
        <v>1.4165024399999997</v>
      </c>
      <c r="U5" s="28">
        <f t="shared" si="22"/>
        <v>1.5224152799999997</v>
      </c>
      <c r="V5" s="28">
        <f t="shared" si="22"/>
        <v>1.6274867999999998</v>
      </c>
      <c r="W5" s="28">
        <f t="shared" si="22"/>
        <v>1.8723109199999997</v>
      </c>
      <c r="X5" s="28">
        <f t="shared" si="22"/>
        <v>2.0988129600000001</v>
      </c>
      <c r="Y5" s="28">
        <f t="shared" si="22"/>
        <v>2.1065717999999993</v>
      </c>
      <c r="Z5" s="28">
        <f t="shared" si="22"/>
        <v>2.2601594399999994</v>
      </c>
      <c r="AA5" s="28">
        <f t="shared" si="22"/>
        <v>2.3165278800000109</v>
      </c>
      <c r="AB5" s="28">
        <f t="shared" si="22"/>
        <v>2.5170489737534498</v>
      </c>
      <c r="AC5" s="28">
        <f t="shared" si="22"/>
        <v>2.6324232612812399</v>
      </c>
      <c r="AD5" s="28">
        <f t="shared" si="22"/>
        <v>2.7721132244496047</v>
      </c>
      <c r="AE5" s="28">
        <f t="shared" si="22"/>
        <v>2.9208083919265673</v>
      </c>
      <c r="AF5" s="28">
        <f t="shared" si="22"/>
        <v>3.1026768907301125</v>
      </c>
      <c r="AG5" s="28">
        <f t="shared" si="22"/>
        <v>3.2889115087983471</v>
      </c>
      <c r="AH5" s="28">
        <f t="shared" si="22"/>
        <v>3.4811254995194507</v>
      </c>
      <c r="AI5" s="28">
        <f t="shared" si="22"/>
        <v>3.7138380330827068</v>
      </c>
      <c r="AJ5" s="28">
        <f t="shared" si="22"/>
        <v>3.9840286714337716</v>
      </c>
      <c r="AK5" s="28">
        <f t="shared" si="22"/>
        <v>4.2682998767363092</v>
      </c>
      <c r="AL5" s="28">
        <f t="shared" si="22"/>
        <v>4.5705197222146792</v>
      </c>
      <c r="AM5" s="28">
        <f t="shared" si="22"/>
        <v>4.8939343431572491</v>
      </c>
      <c r="AN5" s="28">
        <f t="shared" si="22"/>
        <v>5.2386806773016694</v>
      </c>
      <c r="AO5" s="28">
        <f t="shared" si="22"/>
        <v>5.6036298516035457</v>
      </c>
      <c r="AP5" s="28">
        <f t="shared" si="22"/>
        <v>5.9866471818138018</v>
      </c>
    </row>
    <row r="6" spans="1:42" x14ac:dyDescent="0.2">
      <c r="B6" s="28"/>
      <c r="C6" s="28"/>
      <c r="D6" s="28"/>
      <c r="E6" s="28"/>
      <c r="F6" s="28"/>
      <c r="G6" s="28"/>
      <c r="H6" s="28"/>
      <c r="I6" s="28"/>
      <c r="J6" s="28"/>
      <c r="K6" s="28"/>
      <c r="L6" s="28"/>
      <c r="M6" s="28"/>
      <c r="N6" s="28"/>
      <c r="O6" s="28"/>
      <c r="P6" s="28"/>
      <c r="Q6" s="28"/>
      <c r="R6" s="28"/>
      <c r="S6" s="28"/>
      <c r="T6" s="28"/>
      <c r="U6" s="28"/>
      <c r="V6" s="28"/>
      <c r="W6" s="28"/>
      <c r="X6" s="28"/>
      <c r="Y6" s="28"/>
      <c r="Z6" s="28"/>
      <c r="AA6" s="28"/>
    </row>
    <row r="8" spans="1:42" x14ac:dyDescent="0.2">
      <c r="A8" s="71" t="s">
        <v>24</v>
      </c>
      <c r="B8" s="71"/>
      <c r="C8" s="71"/>
    </row>
    <row r="9" spans="1:42" x14ac:dyDescent="0.2">
      <c r="A9" s="71"/>
      <c r="B9" s="71"/>
      <c r="C9" s="71"/>
    </row>
    <row r="10" spans="1:42" x14ac:dyDescent="0.2">
      <c r="A10" s="71"/>
      <c r="B10" s="71"/>
      <c r="C10" s="71"/>
    </row>
    <row r="11" spans="1:42" x14ac:dyDescent="0.2">
      <c r="A11" s="74" t="s">
        <v>60</v>
      </c>
      <c r="B11" s="74"/>
      <c r="C11" s="74"/>
      <c r="D11" s="74"/>
    </row>
    <row r="12" spans="1:42" x14ac:dyDescent="0.2">
      <c r="A12" s="74"/>
      <c r="B12" s="74"/>
      <c r="C12" s="74"/>
      <c r="D12" s="74"/>
    </row>
    <row r="13" spans="1:42" x14ac:dyDescent="0.2">
      <c r="A13" s="74"/>
      <c r="B13" s="74"/>
      <c r="C13" s="74"/>
      <c r="D13" s="74"/>
    </row>
    <row r="14" spans="1:42" ht="15" customHeight="1" x14ac:dyDescent="0.2">
      <c r="A14" s="74" t="s">
        <v>26</v>
      </c>
      <c r="B14" s="74"/>
      <c r="C14" s="74"/>
      <c r="D14" s="74"/>
      <c r="E14" s="74"/>
    </row>
    <row r="15" spans="1:42" x14ac:dyDescent="0.2">
      <c r="A15" s="74"/>
      <c r="B15" s="74"/>
      <c r="C15" s="74"/>
      <c r="D15" s="74"/>
      <c r="E15" s="74"/>
    </row>
    <row r="16" spans="1:42" x14ac:dyDescent="0.2">
      <c r="A16" s="74"/>
      <c r="B16" s="74"/>
      <c r="C16" s="74"/>
      <c r="D16" s="74"/>
      <c r="E16" s="74"/>
    </row>
    <row r="17" spans="1:5" x14ac:dyDescent="0.2">
      <c r="A17" s="74"/>
      <c r="B17" s="74"/>
      <c r="C17" s="74"/>
      <c r="D17" s="74"/>
      <c r="E17" s="74"/>
    </row>
    <row r="18" spans="1:5" x14ac:dyDescent="0.2">
      <c r="A18" s="74"/>
      <c r="B18" s="74"/>
      <c r="C18" s="74"/>
      <c r="D18" s="74"/>
      <c r="E18" s="74"/>
    </row>
  </sheetData>
  <mergeCells count="3">
    <mergeCell ref="A8:C10"/>
    <mergeCell ref="A14:E18"/>
    <mergeCell ref="A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Sale Tariff</vt:lpstr>
      <vt:lpstr>Demand</vt:lpstr>
      <vt:lpstr>GDP</vt:lpstr>
      <vt:lpstr>Generation Cost</vt:lpstr>
      <vt:lpstr>Generation</vt:lpstr>
      <vt:lpstr>Demand-Supply Balance</vt:lpstr>
      <vt:lpstr>Inflation Rate</vt:lpstr>
      <vt:lpstr>Power Supply Cost</vt:lpstr>
      <vt:lpstr>Fuel Price</vt:lpstr>
      <vt:lpstr>Generation Investment</vt:lpstr>
      <vt:lpstr>Investment Cost</vt:lpstr>
      <vt:lpstr>Install Capacities</vt:lpstr>
      <vt:lpstr>relative attractiveness</vt:lpstr>
      <vt:lpstr>Coal Consumption</vt:lpstr>
      <vt:lpstr>Energy Import</vt:lpstr>
      <vt:lpstr>Policies</vt:lpstr>
      <vt:lpstr>PublicPrivate</vt:lpstr>
      <vt:lpstr>Exchange Rate</vt:lpstr>
      <vt:lpstr>Sheet3</vt:lpstr>
    </vt:vector>
  </TitlesOfParts>
  <Company>The University of Melbourne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Enayat Allah Moallemi</dc:creator>
  <cp:lastModifiedBy>Microsoft Office User</cp:lastModifiedBy>
  <dcterms:created xsi:type="dcterms:W3CDTF">2015-08-17T08:04:40Z</dcterms:created>
  <dcterms:modified xsi:type="dcterms:W3CDTF">2016-07-15T12:48:33Z</dcterms:modified>
</cp:coreProperties>
</file>